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hull2/Desktop/"/>
    </mc:Choice>
  </mc:AlternateContent>
  <xr:revisionPtr revIDLastSave="0" documentId="8_{DC3B2BD5-D5FB-1245-8ED3-EBB3B04289C3}" xr6:coauthVersionLast="47" xr6:coauthVersionMax="47" xr10:uidLastSave="{00000000-0000-0000-0000-000000000000}"/>
  <bookViews>
    <workbookView xWindow="0" yWindow="760" windowWidth="30240" windowHeight="17300" xr2:uid="{329ED511-3B3D-4EC0-BD1F-B4FB8C7AE4CF}"/>
  </bookViews>
  <sheets>
    <sheet name="Attachment 4" sheetId="1" r:id="rId1"/>
    <sheet name="Attachment 5" sheetId="3" r:id="rId2"/>
    <sheet name="Attachment 6" sheetId="5" r:id="rId3"/>
    <sheet name="Attachment 7" sheetId="4" r:id="rId4"/>
    <sheet name="Attachment 8" sheetId="6" r:id="rId5"/>
  </sheets>
  <externalReferences>
    <externalReference r:id="rId6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LNK4aa96921ee9e4efe824f22ea423b6b6b" hidden="1">#REF!</definedName>
    <definedName name="MLNK688ca63bf4f545688cadaab1608aecf4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14" i="3"/>
  <c r="H9" i="3"/>
  <c r="G9" i="3"/>
  <c r="F9" i="3"/>
  <c r="E9" i="3"/>
  <c r="D9" i="3"/>
  <c r="C9" i="3"/>
  <c r="H8" i="3"/>
  <c r="G8" i="3"/>
  <c r="F8" i="3"/>
  <c r="E8" i="3"/>
  <c r="D8" i="3"/>
  <c r="C8" i="3"/>
  <c r="H7" i="3"/>
  <c r="G7" i="3"/>
  <c r="F7" i="3"/>
  <c r="E7" i="3"/>
  <c r="D7" i="3"/>
  <c r="C7" i="3"/>
  <c r="D12" i="5"/>
  <c r="D10" i="5"/>
  <c r="D11" i="5" s="1"/>
  <c r="D13" i="5" s="1"/>
  <c r="E6" i="5"/>
  <c r="E12" i="5" s="1"/>
  <c r="D15" i="5" l="1"/>
  <c r="E9" i="5"/>
  <c r="E10" i="5" l="1"/>
  <c r="E11" i="5" s="1"/>
  <c r="E13" i="5" s="1"/>
  <c r="E15" i="5" s="1"/>
  <c r="G10" i="6" l="1"/>
  <c r="H11" i="6"/>
  <c r="H14" i="6"/>
  <c r="H15" i="6"/>
  <c r="H16" i="6"/>
  <c r="H17" i="6"/>
  <c r="E17" i="6"/>
  <c r="E16" i="6"/>
  <c r="E15" i="6"/>
  <c r="D14" i="6"/>
  <c r="G13" i="6"/>
  <c r="E13" i="6"/>
  <c r="H12" i="6"/>
  <c r="E12" i="6"/>
  <c r="E11" i="6"/>
  <c r="D10" i="6"/>
  <c r="G9" i="6"/>
  <c r="E9" i="6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H8" i="6"/>
  <c r="E8" i="6"/>
  <c r="H7" i="6"/>
  <c r="E7" i="6"/>
  <c r="H6" i="6"/>
  <c r="E6" i="6"/>
  <c r="G16" i="6" l="1"/>
  <c r="H9" i="6"/>
  <c r="E10" i="6"/>
  <c r="D17" i="6"/>
  <c r="D11" i="6"/>
  <c r="G14" i="6"/>
  <c r="G8" i="6"/>
  <c r="D13" i="6"/>
  <c r="G6" i="6"/>
  <c r="H13" i="6"/>
  <c r="G7" i="6"/>
  <c r="E18" i="6"/>
  <c r="D18" i="6"/>
  <c r="D12" i="6"/>
  <c r="G15" i="6"/>
  <c r="D7" i="6"/>
  <c r="H10" i="6"/>
  <c r="G17" i="6"/>
  <c r="D9" i="6"/>
  <c r="G12" i="6"/>
  <c r="E14" i="6"/>
  <c r="D16" i="6"/>
  <c r="D6" i="6"/>
  <c r="D8" i="6"/>
  <c r="G11" i="6"/>
  <c r="D15" i="6"/>
  <c r="G18" i="6" l="1"/>
  <c r="H18" i="6"/>
  <c r="G20" i="6"/>
  <c r="H20" i="6"/>
  <c r="H19" i="6"/>
  <c r="G19" i="6"/>
  <c r="E19" i="6"/>
  <c r="D19" i="6"/>
  <c r="E20" i="6"/>
  <c r="D20" i="6"/>
  <c r="E21" i="6" l="1"/>
  <c r="D21" i="6"/>
  <c r="G21" i="6"/>
  <c r="H21" i="6"/>
  <c r="E22" i="6" l="1"/>
  <c r="D22" i="6"/>
  <c r="H22" i="6"/>
  <c r="G22" i="6"/>
  <c r="C19" i="4"/>
  <c r="C12" i="4"/>
  <c r="C16" i="4" s="1"/>
  <c r="C18" i="4" s="1"/>
  <c r="D10" i="4"/>
  <c r="D12" i="4" s="1"/>
  <c r="H8" i="4"/>
  <c r="H9" i="4" s="1"/>
  <c r="H17" i="4" s="1"/>
  <c r="G8" i="4"/>
  <c r="G9" i="4" s="1"/>
  <c r="G17" i="4" s="1"/>
  <c r="F8" i="4"/>
  <c r="F9" i="4" s="1"/>
  <c r="F17" i="4" s="1"/>
  <c r="E8" i="4"/>
  <c r="E9" i="4" s="1"/>
  <c r="E17" i="4" s="1"/>
  <c r="D8" i="4"/>
  <c r="D9" i="4" s="1"/>
  <c r="D17" i="4" s="1"/>
  <c r="C8" i="4"/>
  <c r="C9" i="4" s="1"/>
  <c r="C17" i="4" s="1"/>
  <c r="H23" i="6" l="1"/>
  <c r="G23" i="6"/>
  <c r="D23" i="6"/>
  <c r="E23" i="6"/>
  <c r="C14" i="4"/>
  <c r="D14" i="4" s="1"/>
  <c r="E14" i="4"/>
  <c r="D13" i="4"/>
  <c r="C20" i="4"/>
  <c r="E10" i="4"/>
  <c r="E24" i="6" l="1"/>
  <c r="D24" i="6"/>
  <c r="G24" i="6"/>
  <c r="H24" i="6"/>
  <c r="E12" i="4"/>
  <c r="F10" i="4"/>
  <c r="D19" i="4"/>
  <c r="D16" i="4"/>
  <c r="D18" i="4" s="1"/>
  <c r="F14" i="4"/>
  <c r="E13" i="4"/>
  <c r="E25" i="6" l="1"/>
  <c r="D25" i="6"/>
  <c r="H25" i="6"/>
  <c r="G25" i="6"/>
  <c r="E19" i="4"/>
  <c r="E16" i="4"/>
  <c r="E18" i="4" s="1"/>
  <c r="G14" i="4"/>
  <c r="D20" i="4"/>
  <c r="F12" i="4"/>
  <c r="F13" i="4" s="1"/>
  <c r="G10" i="4"/>
  <c r="G26" i="6" l="1"/>
  <c r="H26" i="6"/>
  <c r="E26" i="6"/>
  <c r="D26" i="6"/>
  <c r="E20" i="4"/>
  <c r="F19" i="4"/>
  <c r="F16" i="4"/>
  <c r="F18" i="4" s="1"/>
  <c r="G12" i="4"/>
  <c r="H10" i="4"/>
  <c r="H12" i="4" s="1"/>
  <c r="H14" i="4"/>
  <c r="G13" i="4"/>
  <c r="E27" i="6" l="1"/>
  <c r="D27" i="6"/>
  <c r="G27" i="6"/>
  <c r="H27" i="6"/>
  <c r="H13" i="4"/>
  <c r="F20" i="4"/>
  <c r="G19" i="4"/>
  <c r="G16" i="4"/>
  <c r="G18" i="4" s="1"/>
  <c r="H19" i="4"/>
  <c r="H16" i="4"/>
  <c r="H18" i="4" s="1"/>
  <c r="E28" i="6" l="1"/>
  <c r="D28" i="6"/>
  <c r="H28" i="6"/>
  <c r="G28" i="6"/>
  <c r="H20" i="4"/>
  <c r="G20" i="4"/>
  <c r="E29" i="6" l="1"/>
  <c r="D29" i="6"/>
  <c r="H29" i="6"/>
  <c r="G29" i="6"/>
  <c r="D7" i="1"/>
  <c r="D10" i="1" s="1"/>
  <c r="G7" i="1"/>
  <c r="G10" i="1" s="1"/>
  <c r="H7" i="1"/>
  <c r="C8" i="1"/>
  <c r="C47" i="1" s="1"/>
  <c r="E8" i="1"/>
  <c r="E49" i="1" s="1"/>
  <c r="F8" i="1"/>
  <c r="F49" i="1" s="1"/>
  <c r="C10" i="1"/>
  <c r="E10" i="1"/>
  <c r="F10" i="1"/>
  <c r="D26" i="1"/>
  <c r="E34" i="1"/>
  <c r="D38" i="1"/>
  <c r="D49" i="1"/>
  <c r="G49" i="1"/>
  <c r="H49" i="1"/>
  <c r="E44" i="1"/>
  <c r="F44" i="1"/>
  <c r="G44" i="1"/>
  <c r="H44" i="1"/>
  <c r="C45" i="1"/>
  <c r="C46" i="1" s="1"/>
  <c r="D45" i="1"/>
  <c r="D46" i="1" s="1"/>
  <c r="E45" i="1"/>
  <c r="F45" i="1"/>
  <c r="G45" i="1"/>
  <c r="H45" i="1"/>
  <c r="D47" i="1"/>
  <c r="G47" i="1"/>
  <c r="H47" i="1"/>
  <c r="F46" i="1" l="1"/>
  <c r="E46" i="1"/>
  <c r="H46" i="1"/>
  <c r="H48" i="1" s="1"/>
  <c r="G46" i="1"/>
  <c r="G48" i="1" s="1"/>
  <c r="D48" i="1"/>
  <c r="E30" i="6"/>
  <c r="D30" i="6"/>
  <c r="G30" i="6"/>
  <c r="H30" i="6"/>
  <c r="H50" i="1"/>
  <c r="G50" i="1"/>
  <c r="C38" i="1"/>
  <c r="H13" i="1"/>
  <c r="F13" i="1"/>
  <c r="C49" i="1"/>
  <c r="E13" i="1"/>
  <c r="C13" i="1"/>
  <c r="C48" i="1"/>
  <c r="E38" i="1"/>
  <c r="D50" i="1"/>
  <c r="F47" i="1"/>
  <c r="F48" i="1" s="1"/>
  <c r="F50" i="1" s="1"/>
  <c r="E47" i="1"/>
  <c r="E48" i="1" s="1"/>
  <c r="E50" i="1" s="1"/>
  <c r="C50" i="1" l="1"/>
  <c r="G13" i="1"/>
  <c r="D13" i="1"/>
</calcChain>
</file>

<file path=xl/sharedStrings.xml><?xml version="1.0" encoding="utf-8"?>
<sst xmlns="http://schemas.openxmlformats.org/spreadsheetml/2006/main" count="215" uniqueCount="138">
  <si>
    <t>Data Center Load and Cost</t>
  </si>
  <si>
    <t>Power Supply Type</t>
  </si>
  <si>
    <t>Contracted</t>
  </si>
  <si>
    <t>Owned</t>
  </si>
  <si>
    <t>Strategy Concept Case</t>
  </si>
  <si>
    <t>A</t>
  </si>
  <si>
    <t>B</t>
  </si>
  <si>
    <t>C</t>
  </si>
  <si>
    <t>D</t>
  </si>
  <si>
    <t>E</t>
  </si>
  <si>
    <t>F</t>
  </si>
  <si>
    <t xml:space="preserve">Name </t>
  </si>
  <si>
    <t>Available Grid /Utility</t>
  </si>
  <si>
    <t>Larger Grid / Utility</t>
  </si>
  <si>
    <t>Gas Power Partner;
Cost Optimized</t>
  </si>
  <si>
    <t>Gas Power Self Build: Cost Optimized</t>
  </si>
  <si>
    <t>Gas Power Self-Build:
Scheduled Focused</t>
  </si>
  <si>
    <t>Existing Coal Plant Restart</t>
  </si>
  <si>
    <t>Data Center IT Load (MW)</t>
  </si>
  <si>
    <t>Total Load (MW)</t>
  </si>
  <si>
    <t>Power Usage Effectiveness</t>
  </si>
  <si>
    <t>Data Center New Land Use (Acres)</t>
  </si>
  <si>
    <t>Data Center Buildings Capital Cost ($MM)</t>
  </si>
  <si>
    <t>Racks and Processors Capital Cost* ($MM)</t>
  </si>
  <si>
    <t>Subtotal: Data Center Capital Cost ($MM)</t>
  </si>
  <si>
    <t>Data Center Operating Costs ($/yr)</t>
  </si>
  <si>
    <t>* Max 5 year useful life</t>
  </si>
  <si>
    <t>Power Supply, Contracting, and Pricing</t>
  </si>
  <si>
    <t>Power Supply Source</t>
  </si>
  <si>
    <t>Local Utility - Planned Renewables and batteries</t>
  </si>
  <si>
    <t>Islanded (no grid) small gas power units</t>
  </si>
  <si>
    <t>Acquired Coal Plant</t>
  </si>
  <si>
    <t>Project Location</t>
  </si>
  <si>
    <t>Louisiana</t>
  </si>
  <si>
    <t>Pennsylvania</t>
  </si>
  <si>
    <t>Environmental Aspects</t>
  </si>
  <si>
    <t>Power Generation New Land Use (acres)</t>
  </si>
  <si>
    <t>N/A</t>
  </si>
  <si>
    <t>Air Emissions (per MWh)</t>
  </si>
  <si>
    <t>High</t>
  </si>
  <si>
    <t>Low/No</t>
  </si>
  <si>
    <t>Medium</t>
  </si>
  <si>
    <t>Highest</t>
  </si>
  <si>
    <t>Water Use</t>
  </si>
  <si>
    <t>None</t>
  </si>
  <si>
    <t>Low</t>
  </si>
  <si>
    <t>Schedule-Related</t>
  </si>
  <si>
    <t>Forecasted Operational Dates</t>
  </si>
  <si>
    <t>End 2026</t>
  </si>
  <si>
    <t>End 2028</t>
  </si>
  <si>
    <t>End 2030</t>
  </si>
  <si>
    <t>End 2027</t>
  </si>
  <si>
    <t>Schedule Basis</t>
  </si>
  <si>
    <t>Utility construction of interconnection</t>
  </si>
  <si>
    <t>Utility Construction of Transmission and Interconnection</t>
  </si>
  <si>
    <t>Equipment Lead Times</t>
  </si>
  <si>
    <t>Permitting + Equipment Lead Times</t>
  </si>
  <si>
    <t>As soon as datacenter can be built</t>
  </si>
  <si>
    <t>Initial Contract Term (yrs)</t>
  </si>
  <si>
    <t>NA</t>
  </si>
  <si>
    <t>Power Reliability</t>
  </si>
  <si>
    <t>Net Power Reliability** (%)</t>
  </si>
  <si>
    <t>** After accounting for back-up batteries and generators</t>
  </si>
  <si>
    <t>Costs</t>
  </si>
  <si>
    <t>Company Investment ($MM)</t>
  </si>
  <si>
    <t>Specific Capital Cost ($/kW)</t>
  </si>
  <si>
    <t>Contract Demand Charges ($/yr)</t>
  </si>
  <si>
    <t>Onsite Generation Fixed Costs** ($/yr)</t>
  </si>
  <si>
    <t>Variable Energy Cost ($/MWh)</t>
  </si>
  <si>
    <t>2026 Base Fuel Price*** ($/MMBtu)</t>
  </si>
  <si>
    <t>x Heat Rate (MMBtu/MWh)</t>
  </si>
  <si>
    <t>= Fuel Charge ($/MWh)</t>
  </si>
  <si>
    <t>+ Variable Energy Cost ($/MWh)</t>
  </si>
  <si>
    <t>= Total Variable Energy Cost ($/MWh)</t>
  </si>
  <si>
    <t>x Max Power Demand (MWh/yr)</t>
  </si>
  <si>
    <t>+ Fixed and Demand Charges ($/yr)</t>
  </si>
  <si>
    <t>= Total Operating Costs ($/yr)</t>
  </si>
  <si>
    <t>*** Fuel Prices are subject to market volatility</t>
  </si>
  <si>
    <t>Attachment 7 - Illustration of Reliability Value</t>
  </si>
  <si>
    <t>IT Load (MW)</t>
  </si>
  <si>
    <t>Reliability</t>
  </si>
  <si>
    <t>Unreliability</t>
  </si>
  <si>
    <t>x5 = Prospective Quality Loss</t>
  </si>
  <si>
    <t>kW/Rack</t>
  </si>
  <si>
    <t>GPU/Rack</t>
  </si>
  <si>
    <t>GPUs (#)</t>
  </si>
  <si>
    <t>Training Duration (d)</t>
  </si>
  <si>
    <t>Training Run Resource (GPU*d)</t>
  </si>
  <si>
    <t>Example Cost Rate ($/GPU/hr)</t>
  </si>
  <si>
    <t>Training Run Cost</t>
  </si>
  <si>
    <t>x Prospective Quality Loss =</t>
  </si>
  <si>
    <t>Value of Quality Loss/Run</t>
  </si>
  <si>
    <t>x Max Runs per year</t>
  </si>
  <si>
    <t>= Quality Risk / Year</t>
  </si>
  <si>
    <t>Calendar
 Year</t>
  </si>
  <si>
    <t>Columbia Gulf (Louisiana)</t>
  </si>
  <si>
    <t>Forward Price Forecast</t>
  </si>
  <si>
    <t>Volatility As Annual Average</t>
  </si>
  <si>
    <t>($/MMBtu)</t>
  </si>
  <si>
    <t>Min</t>
  </si>
  <si>
    <t>Max</t>
  </si>
  <si>
    <t>Attachment 8 - Forward Gas Curves</t>
  </si>
  <si>
    <t>Option A</t>
  </si>
  <si>
    <t>Market Growth in Customer Acquisition</t>
  </si>
  <si>
    <t>Annual New Customers</t>
  </si>
  <si>
    <t>Less: Customer Attrition</t>
  </si>
  <si>
    <t>Retained Subscribers</t>
  </si>
  <si>
    <t>New Customers Acquired</t>
  </si>
  <si>
    <t>Total Paid Subscribers</t>
  </si>
  <si>
    <t>Price Charged / Subscriber</t>
  </si>
  <si>
    <t>Annual Revenue</t>
  </si>
  <si>
    <t>Revenue Assumptions</t>
  </si>
  <si>
    <t>First Year of Operations 
(first year of customer revenue)</t>
  </si>
  <si>
    <t>Number of Customers in First Year</t>
  </si>
  <si>
    <t>Price Charged / User</t>
  </si>
  <si>
    <t>Market Solution Pricing ($/user/year)</t>
  </si>
  <si>
    <t>Chat GTP</t>
  </si>
  <si>
    <t>Plus</t>
  </si>
  <si>
    <t>Pro</t>
  </si>
  <si>
    <t>Microsoft Copilot</t>
  </si>
  <si>
    <t>Google Gemini Code Assist</t>
  </si>
  <si>
    <t>Standard</t>
  </si>
  <si>
    <t>Enterprise</t>
  </si>
  <si>
    <t>GitHub Copilot</t>
  </si>
  <si>
    <t>Individual</t>
  </si>
  <si>
    <t>Organization</t>
  </si>
  <si>
    <t>Perplexity AI</t>
  </si>
  <si>
    <t>Character.ai</t>
  </si>
  <si>
    <t>Anthropic</t>
  </si>
  <si>
    <t>Team</t>
  </si>
  <si>
    <t>Attachment 5 - Market Consultant Revenue Forecast</t>
  </si>
  <si>
    <t>Attachment 6 - Illustrative example of Market Consultant revenue buildup</t>
  </si>
  <si>
    <t>Paid Subscribers, Beginning of Period</t>
  </si>
  <si>
    <t>Transco Non-New York (Pennsylvania)</t>
  </si>
  <si>
    <t>Local Utility --
Existing Units</t>
  </si>
  <si>
    <t>Islanded (no grid) 
Large efficient Units</t>
  </si>
  <si>
    <t>Attachment 4 - Initial Options Data</t>
  </si>
  <si>
    <t>= Total Variable Energy Cost ($/yr)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</si>
</sst>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"/>
    <numFmt numFmtId="166" formatCode="_(* #,##0_);_(* \(#,##0\);_(* &quot;-&quot;??_);_(@_)"/>
    <numFmt numFmtId="167" formatCode="0.0%"/>
    <numFmt numFmtId="168" formatCode="_(* #,##0_);_(* \(#,##0\);_(* &quot;-&quot;?_);_(@_)"/>
    <numFmt numFmtId="169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6" fontId="0" fillId="0" borderId="1" xfId="0" applyNumberForma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66" fontId="0" fillId="0" borderId="1" xfId="2" applyNumberFormat="1" applyFont="1" applyBorder="1" applyAlignment="1">
      <alignment horizontal="right" vertical="center"/>
    </xf>
    <xf numFmtId="5" fontId="0" fillId="0" borderId="1" xfId="1" applyNumberFormat="1" applyFont="1" applyBorder="1" applyAlignment="1">
      <alignment horizontal="right" vertical="center"/>
    </xf>
    <xf numFmtId="164" fontId="0" fillId="0" borderId="1" xfId="3" applyNumberFormat="1" applyFon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2" fillId="3" borderId="1" xfId="0" quotePrefix="1" applyFont="1" applyFill="1" applyBorder="1"/>
    <xf numFmtId="5" fontId="2" fillId="3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7" fontId="0" fillId="0" borderId="0" xfId="3" applyNumberFormat="1" applyFont="1"/>
    <xf numFmtId="166" fontId="0" fillId="0" borderId="0" xfId="2" applyNumberFormat="1" applyFont="1"/>
    <xf numFmtId="168" fontId="0" fillId="0" borderId="0" xfId="0" applyNumberFormat="1"/>
    <xf numFmtId="9" fontId="0" fillId="0" borderId="2" xfId="0" applyNumberFormat="1" applyBorder="1"/>
    <xf numFmtId="0" fontId="0" fillId="0" borderId="3" xfId="0" applyBorder="1"/>
    <xf numFmtId="166" fontId="0" fillId="0" borderId="3" xfId="2" applyNumberFormat="1" applyFont="1" applyBorder="1"/>
    <xf numFmtId="169" fontId="0" fillId="0" borderId="0" xfId="1" applyNumberFormat="1" applyFont="1"/>
    <xf numFmtId="169" fontId="0" fillId="0" borderId="3" xfId="1" applyNumberFormat="1" applyFont="1" applyBorder="1"/>
    <xf numFmtId="165" fontId="0" fillId="0" borderId="1" xfId="1" applyNumberFormat="1" applyFont="1" applyBorder="1" applyAlignment="1">
      <alignment horizontal="center" vertical="center"/>
    </xf>
    <xf numFmtId="167" fontId="0" fillId="0" borderId="1" xfId="3" applyNumberFormat="1" applyFont="1" applyBorder="1"/>
    <xf numFmtId="0" fontId="0" fillId="0" borderId="1" xfId="0" applyBorder="1" applyAlignment="1">
      <alignment horizontal="left" indent="2"/>
    </xf>
    <xf numFmtId="169" fontId="0" fillId="0" borderId="1" xfId="1" applyNumberFormat="1" applyFont="1" applyBorder="1"/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naskainc.sharepoint.com/sites/TenaskaDataRoom/UNL%20Tenaska%20BC/TBC%20-%20Spring%202025/Financial%20Model/TBC%20-%20(2.17.25).xlsx" TargetMode="External"/><Relationship Id="rId1" Type="http://schemas.openxmlformats.org/officeDocument/2006/relationships/externalLinkPath" Target="https://tenaskainc.sharepoint.com/sites/TenaskaDataRoom/UNL%20Tenaska%20BC/TBC%20-%20Spring%202025/Financial%20Model/TBC%20-%20(2.17.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Inputs"/>
      <sheetName val="Sheet1"/>
      <sheetName val="Sheet1 (2)"/>
      <sheetName val="Sheet1 (3)"/>
      <sheetName val="Sheet3"/>
      <sheetName val="Pro Forma&gt;&gt;"/>
      <sheetName val="Opt. A"/>
      <sheetName val="Opt. B"/>
      <sheetName val="Opt. C"/>
      <sheetName val="Opt. D"/>
      <sheetName val="Opt. E"/>
      <sheetName val="Opt. G"/>
      <sheetName val="Opt. F"/>
      <sheetName val="Misc.&gt;&gt;"/>
      <sheetName val="Costs"/>
      <sheetName val="Gas Curve"/>
      <sheetName val="Illustrative Example of "/>
      <sheetName val="Market Consultant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E12">
            <v>2028</v>
          </cell>
        </row>
        <row r="22">
          <cell r="E22">
            <v>1000</v>
          </cell>
        </row>
        <row r="35">
          <cell r="E35">
            <v>140</v>
          </cell>
        </row>
      </sheetData>
      <sheetData sheetId="8">
        <row r="12">
          <cell r="E12">
            <v>2030</v>
          </cell>
        </row>
        <row r="22">
          <cell r="E22">
            <v>800</v>
          </cell>
        </row>
        <row r="35">
          <cell r="E35">
            <v>550</v>
          </cell>
        </row>
      </sheetData>
      <sheetData sheetId="9">
        <row r="12">
          <cell r="E12">
            <v>2032</v>
          </cell>
        </row>
        <row r="22">
          <cell r="E22">
            <v>750</v>
          </cell>
        </row>
        <row r="35">
          <cell r="E35">
            <v>1500</v>
          </cell>
        </row>
      </sheetData>
      <sheetData sheetId="10">
        <row r="12">
          <cell r="E12">
            <v>2032</v>
          </cell>
        </row>
        <row r="22">
          <cell r="E22">
            <v>750</v>
          </cell>
        </row>
        <row r="35">
          <cell r="E35">
            <v>1500</v>
          </cell>
        </row>
      </sheetData>
      <sheetData sheetId="11">
        <row r="12">
          <cell r="E12">
            <v>2029</v>
          </cell>
        </row>
        <row r="22">
          <cell r="E22">
            <v>1000</v>
          </cell>
        </row>
        <row r="35">
          <cell r="E35">
            <v>160</v>
          </cell>
        </row>
      </sheetData>
      <sheetData sheetId="12"/>
      <sheetData sheetId="13">
        <row r="12">
          <cell r="E12">
            <v>2028</v>
          </cell>
        </row>
        <row r="22">
          <cell r="E22">
            <v>1000</v>
          </cell>
        </row>
        <row r="35">
          <cell r="E35">
            <v>525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BFD0-FE2C-4C17-8AC1-1FAD892C6EF4}">
  <dimension ref="A1:H82"/>
  <sheetViews>
    <sheetView showGridLines="0" tabSelected="1" zoomScaleNormal="100" workbookViewId="0">
      <selection activeCell="B53" sqref="B53"/>
    </sheetView>
  </sheetViews>
  <sheetFormatPr baseColWidth="10" defaultColWidth="8.83203125" defaultRowHeight="15" outlineLevelRow="1" x14ac:dyDescent="0.2"/>
  <cols>
    <col min="1" max="1" width="8.83203125" style="1"/>
    <col min="2" max="2" width="38.1640625" style="3" customWidth="1"/>
    <col min="3" max="3" width="21.1640625" style="2" customWidth="1"/>
    <col min="4" max="4" width="20.1640625" style="2" customWidth="1"/>
    <col min="5" max="5" width="17.83203125" style="2" customWidth="1"/>
    <col min="6" max="7" width="20.1640625" style="2" customWidth="1"/>
    <col min="8" max="8" width="18.83203125" style="2" customWidth="1"/>
    <col min="9" max="16384" width="8.83203125" style="1"/>
  </cols>
  <sheetData>
    <row r="1" spans="1:8" x14ac:dyDescent="0.2">
      <c r="A1" s="62" t="s">
        <v>136</v>
      </c>
    </row>
    <row r="3" spans="1:8" ht="16" x14ac:dyDescent="0.2">
      <c r="B3" s="29" t="s">
        <v>0</v>
      </c>
    </row>
    <row r="4" spans="1:8" ht="16" x14ac:dyDescent="0.2">
      <c r="B4" s="23" t="s">
        <v>1</v>
      </c>
      <c r="C4" s="63" t="s">
        <v>2</v>
      </c>
      <c r="D4" s="63"/>
      <c r="E4" s="63"/>
      <c r="F4" s="63" t="s">
        <v>3</v>
      </c>
      <c r="G4" s="63"/>
      <c r="H4" s="63"/>
    </row>
    <row r="5" spans="1:8" ht="16" x14ac:dyDescent="0.2"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</row>
    <row r="6" spans="1:8" ht="35" customHeight="1" x14ac:dyDescent="0.2"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</row>
    <row r="7" spans="1:8" ht="24.5" customHeight="1" x14ac:dyDescent="0.2">
      <c r="B7" s="5" t="s">
        <v>18</v>
      </c>
      <c r="C7" s="9">
        <v>200</v>
      </c>
      <c r="D7" s="9">
        <f>D8/D9</f>
        <v>480</v>
      </c>
      <c r="E7" s="9">
        <v>1200</v>
      </c>
      <c r="F7" s="9">
        <v>1200</v>
      </c>
      <c r="G7" s="9">
        <f>G8/G9</f>
        <v>200</v>
      </c>
      <c r="H7" s="9">
        <f>H8/H9</f>
        <v>1000</v>
      </c>
    </row>
    <row r="8" spans="1:8" ht="24.5" customHeight="1" x14ac:dyDescent="0.2">
      <c r="B8" s="5" t="s">
        <v>19</v>
      </c>
      <c r="C8" s="9">
        <f>C7*C9</f>
        <v>300</v>
      </c>
      <c r="D8" s="9">
        <v>600</v>
      </c>
      <c r="E8" s="9">
        <f>E7*E9</f>
        <v>1500</v>
      </c>
      <c r="F8" s="9">
        <f>F7*F9</f>
        <v>1500</v>
      </c>
      <c r="G8" s="9">
        <v>300</v>
      </c>
      <c r="H8" s="9">
        <v>1500</v>
      </c>
    </row>
    <row r="9" spans="1:8" ht="24.5" customHeight="1" x14ac:dyDescent="0.2">
      <c r="B9" s="5" t="s">
        <v>20</v>
      </c>
      <c r="C9" s="4">
        <v>1.5</v>
      </c>
      <c r="D9" s="4">
        <v>1.25</v>
      </c>
      <c r="E9" s="4">
        <v>1.25</v>
      </c>
      <c r="F9" s="4">
        <v>1.25</v>
      </c>
      <c r="G9" s="4">
        <v>1.5</v>
      </c>
      <c r="H9" s="4">
        <v>1.5</v>
      </c>
    </row>
    <row r="10" spans="1:8" ht="24.5" customHeight="1" x14ac:dyDescent="0.2">
      <c r="B10" s="5" t="s">
        <v>21</v>
      </c>
      <c r="C10" s="4">
        <f>C7*0.5</f>
        <v>100</v>
      </c>
      <c r="D10" s="4">
        <f>D7*0.4</f>
        <v>192</v>
      </c>
      <c r="E10" s="4">
        <f>E7*0.25</f>
        <v>300</v>
      </c>
      <c r="F10" s="4">
        <f>F7*0.25</f>
        <v>300</v>
      </c>
      <c r="G10" s="4">
        <f>G7*0.5</f>
        <v>100</v>
      </c>
      <c r="H10" s="4">
        <v>0</v>
      </c>
    </row>
    <row r="11" spans="1:8" ht="24.5" customHeight="1" x14ac:dyDescent="0.2">
      <c r="B11" s="5" t="s">
        <v>22</v>
      </c>
      <c r="C11" s="12">
        <v>3000</v>
      </c>
      <c r="D11" s="12">
        <v>5760</v>
      </c>
      <c r="E11" s="12">
        <v>9600</v>
      </c>
      <c r="F11" s="12">
        <v>9600</v>
      </c>
      <c r="G11" s="12">
        <v>2800</v>
      </c>
      <c r="H11" s="12">
        <v>8000</v>
      </c>
    </row>
    <row r="12" spans="1:8" ht="24.5" customHeight="1" x14ac:dyDescent="0.2">
      <c r="B12" s="5" t="s">
        <v>23</v>
      </c>
      <c r="C12" s="12">
        <v>1800</v>
      </c>
      <c r="D12" s="12">
        <v>4080</v>
      </c>
      <c r="E12" s="12">
        <v>9600</v>
      </c>
      <c r="F12" s="12">
        <v>9600</v>
      </c>
      <c r="G12" s="12">
        <v>1800</v>
      </c>
      <c r="H12" s="12">
        <v>8000</v>
      </c>
    </row>
    <row r="13" spans="1:8" ht="24.5" customHeight="1" x14ac:dyDescent="0.2">
      <c r="B13" s="28" t="s">
        <v>24</v>
      </c>
      <c r="C13" s="27">
        <f t="shared" ref="C13:H13" si="0">C11+C12</f>
        <v>4800</v>
      </c>
      <c r="D13" s="27">
        <f t="shared" si="0"/>
        <v>9840</v>
      </c>
      <c r="E13" s="27">
        <f t="shared" si="0"/>
        <v>19200</v>
      </c>
      <c r="F13" s="27">
        <f t="shared" si="0"/>
        <v>19200</v>
      </c>
      <c r="G13" s="27">
        <f t="shared" si="0"/>
        <v>4600</v>
      </c>
      <c r="H13" s="27">
        <f t="shared" si="0"/>
        <v>16000</v>
      </c>
    </row>
    <row r="14" spans="1:8" ht="24.5" customHeight="1" x14ac:dyDescent="0.2">
      <c r="B14" s="5" t="s">
        <v>25</v>
      </c>
      <c r="C14" s="26">
        <v>8000000</v>
      </c>
      <c r="D14" s="26">
        <v>9000000</v>
      </c>
      <c r="E14" s="26">
        <v>12000000</v>
      </c>
      <c r="F14" s="26">
        <v>10000000</v>
      </c>
      <c r="G14" s="26">
        <v>8000000</v>
      </c>
      <c r="H14" s="26">
        <v>12000000</v>
      </c>
    </row>
    <row r="15" spans="1:8" ht="16" x14ac:dyDescent="0.2">
      <c r="B15" s="25" t="s">
        <v>26</v>
      </c>
    </row>
    <row r="16" spans="1:8" x14ac:dyDescent="0.2">
      <c r="B16" s="25"/>
    </row>
    <row r="19" spans="2:8" x14ac:dyDescent="0.2">
      <c r="B19" s="7" t="s">
        <v>27</v>
      </c>
    </row>
    <row r="20" spans="2:8" ht="16" x14ac:dyDescent="0.2">
      <c r="B20" s="23" t="s">
        <v>1</v>
      </c>
      <c r="C20" s="63" t="s">
        <v>2</v>
      </c>
      <c r="D20" s="63"/>
      <c r="E20" s="63"/>
      <c r="F20" s="63" t="s">
        <v>3</v>
      </c>
      <c r="G20" s="63"/>
      <c r="H20" s="63"/>
    </row>
    <row r="21" spans="2:8" ht="16" x14ac:dyDescent="0.2">
      <c r="B21" s="23" t="s">
        <v>4</v>
      </c>
      <c r="C21" s="24" t="s">
        <v>5</v>
      </c>
      <c r="D21" s="24" t="s">
        <v>6</v>
      </c>
      <c r="E21" s="24" t="s">
        <v>7</v>
      </c>
      <c r="F21" s="24" t="s">
        <v>8</v>
      </c>
      <c r="G21" s="24" t="s">
        <v>9</v>
      </c>
      <c r="H21" s="24" t="s">
        <v>10</v>
      </c>
    </row>
    <row r="22" spans="2:8" ht="32" x14ac:dyDescent="0.2">
      <c r="B22" s="23" t="s">
        <v>11</v>
      </c>
      <c r="C22" s="22" t="s">
        <v>12</v>
      </c>
      <c r="D22" s="22" t="s">
        <v>13</v>
      </c>
      <c r="E22" s="22" t="s">
        <v>14</v>
      </c>
      <c r="F22" s="22" t="s">
        <v>15</v>
      </c>
      <c r="G22" s="22" t="s">
        <v>16</v>
      </c>
      <c r="H22" s="22" t="s">
        <v>17</v>
      </c>
    </row>
    <row r="23" spans="2:8" ht="41.5" customHeight="1" x14ac:dyDescent="0.2">
      <c r="B23" s="21" t="s">
        <v>28</v>
      </c>
      <c r="C23" s="19" t="s">
        <v>134</v>
      </c>
      <c r="D23" s="19" t="s">
        <v>29</v>
      </c>
      <c r="E23" s="19" t="s">
        <v>135</v>
      </c>
      <c r="F23" s="19" t="s">
        <v>135</v>
      </c>
      <c r="G23" s="19" t="s">
        <v>30</v>
      </c>
      <c r="H23" s="19" t="s">
        <v>31</v>
      </c>
    </row>
    <row r="24" spans="2:8" ht="18.5" customHeight="1" x14ac:dyDescent="0.2">
      <c r="B24" s="21" t="s">
        <v>32</v>
      </c>
      <c r="C24" s="19" t="s">
        <v>33</v>
      </c>
      <c r="D24" s="19" t="s">
        <v>33</v>
      </c>
      <c r="E24" s="19" t="s">
        <v>34</v>
      </c>
      <c r="F24" s="19" t="s">
        <v>33</v>
      </c>
      <c r="G24" s="19" t="s">
        <v>33</v>
      </c>
      <c r="H24" s="19" t="s">
        <v>34</v>
      </c>
    </row>
    <row r="25" spans="2:8" ht="30" customHeight="1" x14ac:dyDescent="0.2">
      <c r="B25" s="20" t="s">
        <v>35</v>
      </c>
      <c r="C25" s="16"/>
      <c r="D25" s="16"/>
      <c r="E25" s="16"/>
      <c r="F25" s="16"/>
      <c r="G25" s="16"/>
      <c r="H25" s="16"/>
    </row>
    <row r="26" spans="2:8" ht="22.25" customHeight="1" x14ac:dyDescent="0.2">
      <c r="B26" s="5" t="s">
        <v>36</v>
      </c>
      <c r="C26" s="19" t="s">
        <v>37</v>
      </c>
      <c r="D26" s="19">
        <f>D8*0.5*10+D8*0.5*1+50</f>
        <v>3350</v>
      </c>
      <c r="E26" s="19">
        <v>100</v>
      </c>
      <c r="F26" s="19">
        <v>100</v>
      </c>
      <c r="G26" s="19">
        <v>100</v>
      </c>
      <c r="H26" s="19">
        <v>0</v>
      </c>
    </row>
    <row r="27" spans="2:8" ht="22.25" customHeight="1" x14ac:dyDescent="0.2">
      <c r="B27" s="5" t="s">
        <v>38</v>
      </c>
      <c r="C27" s="19" t="s">
        <v>39</v>
      </c>
      <c r="D27" s="19" t="s">
        <v>40</v>
      </c>
      <c r="E27" s="19" t="s">
        <v>41</v>
      </c>
      <c r="F27" s="19" t="s">
        <v>41</v>
      </c>
      <c r="G27" s="19" t="s">
        <v>39</v>
      </c>
      <c r="H27" s="19" t="s">
        <v>42</v>
      </c>
    </row>
    <row r="28" spans="2:8" ht="22.25" customHeight="1" x14ac:dyDescent="0.2">
      <c r="B28" s="5" t="s">
        <v>43</v>
      </c>
      <c r="C28" s="19" t="s">
        <v>44</v>
      </c>
      <c r="D28" s="19" t="s">
        <v>45</v>
      </c>
      <c r="E28" s="19" t="s">
        <v>41</v>
      </c>
      <c r="F28" s="19" t="s">
        <v>41</v>
      </c>
      <c r="G28" s="19" t="s">
        <v>45</v>
      </c>
      <c r="H28" s="19" t="s">
        <v>39</v>
      </c>
    </row>
    <row r="29" spans="2:8" ht="24" customHeight="1" x14ac:dyDescent="0.2">
      <c r="B29" s="20" t="s">
        <v>46</v>
      </c>
      <c r="C29" s="16"/>
      <c r="D29" s="16"/>
      <c r="E29" s="16"/>
      <c r="F29" s="16"/>
      <c r="G29" s="16"/>
      <c r="H29" s="16"/>
    </row>
    <row r="30" spans="2:8" ht="18.5" customHeight="1" x14ac:dyDescent="0.2">
      <c r="B30" s="5" t="s">
        <v>47</v>
      </c>
      <c r="C30" s="4" t="s">
        <v>48</v>
      </c>
      <c r="D30" s="4" t="s">
        <v>49</v>
      </c>
      <c r="E30" s="4" t="s">
        <v>50</v>
      </c>
      <c r="F30" s="4" t="s">
        <v>50</v>
      </c>
      <c r="G30" s="4" t="s">
        <v>51</v>
      </c>
      <c r="H30" s="4" t="s">
        <v>48</v>
      </c>
    </row>
    <row r="31" spans="2:8" ht="48" customHeight="1" x14ac:dyDescent="0.2">
      <c r="B31" s="5" t="s">
        <v>52</v>
      </c>
      <c r="C31" s="19" t="s">
        <v>53</v>
      </c>
      <c r="D31" s="19" t="s">
        <v>54</v>
      </c>
      <c r="E31" s="19" t="s">
        <v>55</v>
      </c>
      <c r="F31" s="19" t="s">
        <v>55</v>
      </c>
      <c r="G31" s="19" t="s">
        <v>56</v>
      </c>
      <c r="H31" s="19" t="s">
        <v>57</v>
      </c>
    </row>
    <row r="32" spans="2:8" ht="21" customHeight="1" x14ac:dyDescent="0.2">
      <c r="B32" s="5" t="s">
        <v>58</v>
      </c>
      <c r="C32" s="4">
        <v>1</v>
      </c>
      <c r="D32" s="4">
        <v>10</v>
      </c>
      <c r="E32" s="4">
        <v>15</v>
      </c>
      <c r="F32" s="4" t="s">
        <v>59</v>
      </c>
      <c r="G32" s="4" t="s">
        <v>59</v>
      </c>
      <c r="H32" s="4" t="s">
        <v>59</v>
      </c>
    </row>
    <row r="33" spans="2:8" ht="26" customHeight="1" x14ac:dyDescent="0.2">
      <c r="B33" s="18" t="s">
        <v>60</v>
      </c>
    </row>
    <row r="34" spans="2:8" ht="18.5" customHeight="1" x14ac:dyDescent="0.2">
      <c r="B34" s="5" t="s">
        <v>61</v>
      </c>
      <c r="C34" s="6">
        <v>0.99999000000000005</v>
      </c>
      <c r="D34" s="6">
        <v>0.99990000000000001</v>
      </c>
      <c r="E34" s="6">
        <f>F34</f>
        <v>0.98</v>
      </c>
      <c r="F34" s="6">
        <v>0.98</v>
      </c>
      <c r="G34" s="6">
        <v>0.99</v>
      </c>
      <c r="H34" s="6">
        <v>0.95</v>
      </c>
    </row>
    <row r="35" spans="2:8" s="14" customFormat="1" x14ac:dyDescent="0.2">
      <c r="B35" s="8" t="s">
        <v>62</v>
      </c>
      <c r="C35" s="17"/>
      <c r="D35" s="17"/>
      <c r="E35" s="16"/>
      <c r="F35" s="16"/>
      <c r="G35" s="16"/>
      <c r="H35" s="16"/>
    </row>
    <row r="36" spans="2:8" s="14" customFormat="1" ht="29" customHeight="1" x14ac:dyDescent="0.2">
      <c r="B36" s="18" t="s">
        <v>63</v>
      </c>
      <c r="C36" s="17"/>
      <c r="D36" s="17"/>
      <c r="E36" s="16"/>
      <c r="F36" s="16"/>
      <c r="G36" s="16"/>
      <c r="H36" s="16"/>
    </row>
    <row r="37" spans="2:8" s="14" customFormat="1" ht="16" x14ac:dyDescent="0.2">
      <c r="B37" s="5" t="s">
        <v>64</v>
      </c>
      <c r="C37" s="15">
        <v>0</v>
      </c>
      <c r="D37" s="15">
        <v>0</v>
      </c>
      <c r="E37" s="15">
        <v>0</v>
      </c>
      <c r="F37" s="15">
        <v>2250</v>
      </c>
      <c r="G37" s="15">
        <v>750</v>
      </c>
      <c r="H37" s="15">
        <v>375</v>
      </c>
    </row>
    <row r="38" spans="2:8" s="14" customFormat="1" ht="16" x14ac:dyDescent="0.2">
      <c r="B38" s="5" t="s">
        <v>65</v>
      </c>
      <c r="C38" s="15">
        <f>C37/C8/1000</f>
        <v>0</v>
      </c>
      <c r="D38" s="15">
        <f>D37/D8/1000</f>
        <v>0</v>
      </c>
      <c r="E38" s="15">
        <f>E37/E8/1000</f>
        <v>0</v>
      </c>
      <c r="F38" s="15">
        <v>1500</v>
      </c>
      <c r="G38" s="15">
        <v>2500</v>
      </c>
      <c r="H38" s="15">
        <v>250</v>
      </c>
    </row>
    <row r="39" spans="2:8" ht="16" x14ac:dyDescent="0.2">
      <c r="B39" s="5" t="s">
        <v>66</v>
      </c>
      <c r="C39" s="13">
        <v>18000000</v>
      </c>
      <c r="D39" s="13">
        <v>72000000</v>
      </c>
      <c r="E39" s="13">
        <v>270000000</v>
      </c>
      <c r="F39" s="13">
        <v>0</v>
      </c>
      <c r="G39" s="13">
        <v>0</v>
      </c>
      <c r="H39" s="13">
        <v>0</v>
      </c>
    </row>
    <row r="40" spans="2:8" ht="16" x14ac:dyDescent="0.2">
      <c r="B40" s="5" t="s">
        <v>67</v>
      </c>
      <c r="C40" s="4">
        <v>0</v>
      </c>
      <c r="D40" s="4">
        <v>0</v>
      </c>
      <c r="E40" s="4">
        <v>0</v>
      </c>
      <c r="F40" s="12">
        <v>21599999.999999996</v>
      </c>
      <c r="G40" s="12">
        <v>18000000</v>
      </c>
      <c r="H40" s="12">
        <v>54000000</v>
      </c>
    </row>
    <row r="41" spans="2:8" ht="16" x14ac:dyDescent="0.2">
      <c r="B41" s="5" t="s">
        <v>68</v>
      </c>
      <c r="C41" s="4">
        <v>35</v>
      </c>
      <c r="D41" s="4">
        <v>60</v>
      </c>
      <c r="E41" s="4">
        <v>3</v>
      </c>
      <c r="F41" s="4">
        <v>3</v>
      </c>
      <c r="G41" s="4">
        <v>7</v>
      </c>
      <c r="H41" s="4">
        <v>5</v>
      </c>
    </row>
    <row r="42" spans="2:8" ht="16" x14ac:dyDescent="0.2">
      <c r="B42" s="5" t="s">
        <v>69</v>
      </c>
      <c r="C42" s="11">
        <v>0</v>
      </c>
      <c r="D42" s="11">
        <v>0</v>
      </c>
      <c r="E42" s="11">
        <v>3.37</v>
      </c>
      <c r="F42" s="11">
        <v>3.87</v>
      </c>
      <c r="G42" s="11">
        <v>3.87</v>
      </c>
      <c r="H42" s="11">
        <v>2.5</v>
      </c>
    </row>
    <row r="43" spans="2:8" ht="16" x14ac:dyDescent="0.2">
      <c r="B43" s="10" t="s">
        <v>70</v>
      </c>
      <c r="C43" s="11">
        <v>0</v>
      </c>
      <c r="D43" s="11">
        <v>0</v>
      </c>
      <c r="E43" s="11">
        <v>6.5</v>
      </c>
      <c r="F43" s="11">
        <v>6.5</v>
      </c>
      <c r="G43" s="11">
        <v>9.5</v>
      </c>
      <c r="H43" s="11">
        <v>10</v>
      </c>
    </row>
    <row r="44" spans="2:8" ht="16" x14ac:dyDescent="0.2">
      <c r="B44" s="10" t="s">
        <v>71</v>
      </c>
      <c r="C44" s="11">
        <v>0</v>
      </c>
      <c r="D44" s="11">
        <v>0</v>
      </c>
      <c r="E44" s="11">
        <f>E42*E43</f>
        <v>21.905000000000001</v>
      </c>
      <c r="F44" s="11">
        <f>F42*F43</f>
        <v>25.155000000000001</v>
      </c>
      <c r="G44" s="11">
        <f>G42*G43</f>
        <v>36.765000000000001</v>
      </c>
      <c r="H44" s="11">
        <f>H42*H43</f>
        <v>25</v>
      </c>
    </row>
    <row r="45" spans="2:8" ht="16" x14ac:dyDescent="0.2">
      <c r="B45" s="10" t="s">
        <v>72</v>
      </c>
      <c r="C45" s="11">
        <f t="shared" ref="C45:H45" si="1">C41</f>
        <v>35</v>
      </c>
      <c r="D45" s="11">
        <f t="shared" si="1"/>
        <v>60</v>
      </c>
      <c r="E45" s="11">
        <f t="shared" si="1"/>
        <v>3</v>
      </c>
      <c r="F45" s="11">
        <f t="shared" si="1"/>
        <v>3</v>
      </c>
      <c r="G45" s="11">
        <f t="shared" si="1"/>
        <v>7</v>
      </c>
      <c r="H45" s="11">
        <f t="shared" si="1"/>
        <v>5</v>
      </c>
    </row>
    <row r="46" spans="2:8" ht="16" x14ac:dyDescent="0.2">
      <c r="B46" s="10" t="s">
        <v>73</v>
      </c>
      <c r="C46" s="11">
        <f t="shared" ref="C46:H46" si="2">C45+C44</f>
        <v>35</v>
      </c>
      <c r="D46" s="11">
        <f t="shared" si="2"/>
        <v>60</v>
      </c>
      <c r="E46" s="11">
        <f t="shared" si="2"/>
        <v>24.905000000000001</v>
      </c>
      <c r="F46" s="11">
        <f t="shared" si="2"/>
        <v>28.155000000000001</v>
      </c>
      <c r="G46" s="11">
        <f t="shared" si="2"/>
        <v>43.765000000000001</v>
      </c>
      <c r="H46" s="11">
        <f t="shared" si="2"/>
        <v>30</v>
      </c>
    </row>
    <row r="47" spans="2:8" ht="16" x14ac:dyDescent="0.2">
      <c r="B47" s="10" t="s">
        <v>74</v>
      </c>
      <c r="C47" s="9">
        <f t="shared" ref="C47:H47" si="3">C8*8760</f>
        <v>2628000</v>
      </c>
      <c r="D47" s="9">
        <f t="shared" si="3"/>
        <v>5256000</v>
      </c>
      <c r="E47" s="9">
        <f t="shared" si="3"/>
        <v>13140000</v>
      </c>
      <c r="F47" s="9">
        <f t="shared" si="3"/>
        <v>13140000</v>
      </c>
      <c r="G47" s="9">
        <f t="shared" si="3"/>
        <v>2628000</v>
      </c>
      <c r="H47" s="9">
        <f t="shared" si="3"/>
        <v>13140000</v>
      </c>
    </row>
    <row r="48" spans="2:8" ht="16" x14ac:dyDescent="0.2">
      <c r="B48" s="10" t="s">
        <v>137</v>
      </c>
      <c r="C48" s="9">
        <f t="shared" ref="C48:H48" si="4">C46*C47</f>
        <v>91980000</v>
      </c>
      <c r="D48" s="9">
        <f t="shared" si="4"/>
        <v>315360000</v>
      </c>
      <c r="E48" s="9">
        <f t="shared" si="4"/>
        <v>327251700</v>
      </c>
      <c r="F48" s="9">
        <f t="shared" si="4"/>
        <v>369956700</v>
      </c>
      <c r="G48" s="9">
        <f t="shared" si="4"/>
        <v>115014420</v>
      </c>
      <c r="H48" s="9">
        <f t="shared" si="4"/>
        <v>394200000</v>
      </c>
    </row>
    <row r="49" spans="1:8" ht="16" x14ac:dyDescent="0.2">
      <c r="B49" s="10" t="s">
        <v>75</v>
      </c>
      <c r="C49" s="9">
        <f t="shared" ref="C49:H49" si="5">C39+C40</f>
        <v>18000000</v>
      </c>
      <c r="D49" s="9">
        <f t="shared" si="5"/>
        <v>72000000</v>
      </c>
      <c r="E49" s="9">
        <f t="shared" si="5"/>
        <v>270000000</v>
      </c>
      <c r="F49" s="9">
        <f t="shared" si="5"/>
        <v>21599999.999999996</v>
      </c>
      <c r="G49" s="9">
        <f t="shared" si="5"/>
        <v>18000000</v>
      </c>
      <c r="H49" s="9">
        <f t="shared" si="5"/>
        <v>54000000</v>
      </c>
    </row>
    <row r="50" spans="1:8" ht="16" x14ac:dyDescent="0.2">
      <c r="B50" s="10" t="s">
        <v>76</v>
      </c>
      <c r="C50" s="9">
        <f t="shared" ref="C50:H50" si="6">C48+C49</f>
        <v>109980000</v>
      </c>
      <c r="D50" s="9">
        <f t="shared" si="6"/>
        <v>387360000</v>
      </c>
      <c r="E50" s="9">
        <f t="shared" si="6"/>
        <v>597251700</v>
      </c>
      <c r="F50" s="9">
        <f t="shared" si="6"/>
        <v>391556700</v>
      </c>
      <c r="G50" s="9">
        <f t="shared" si="6"/>
        <v>133014420</v>
      </c>
      <c r="H50" s="9">
        <f t="shared" si="6"/>
        <v>448200000</v>
      </c>
    </row>
    <row r="51" spans="1:8" s="2" customFormat="1" ht="14" customHeight="1" x14ac:dyDescent="0.2">
      <c r="A51" s="1"/>
      <c r="B51" s="8" t="s">
        <v>77</v>
      </c>
    </row>
    <row r="52" spans="1:8" s="2" customFormat="1" x14ac:dyDescent="0.2">
      <c r="A52" s="1"/>
      <c r="B52" s="8"/>
    </row>
    <row r="53" spans="1:8" s="2" customFormat="1" ht="125" customHeight="1" outlineLevel="1" x14ac:dyDescent="0.2">
      <c r="A53" s="1"/>
      <c r="B53" s="8"/>
    </row>
    <row r="54" spans="1:8" outlineLevel="1" x14ac:dyDescent="0.2"/>
    <row r="75" outlineLevel="1" x14ac:dyDescent="0.2"/>
    <row r="76" outlineLevel="1" x14ac:dyDescent="0.2"/>
    <row r="77" outlineLevel="1" x14ac:dyDescent="0.2"/>
    <row r="78" outlineLevel="1" x14ac:dyDescent="0.2"/>
    <row r="79" outlineLevel="1" x14ac:dyDescent="0.2"/>
    <row r="80" outlineLevel="1" x14ac:dyDescent="0.2"/>
    <row r="81" outlineLevel="1" x14ac:dyDescent="0.2"/>
    <row r="82" outlineLevel="1" x14ac:dyDescent="0.2"/>
  </sheetData>
  <mergeCells count="4">
    <mergeCell ref="C20:E20"/>
    <mergeCell ref="F20:H20"/>
    <mergeCell ref="F4:H4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A485-D36F-488C-ADAE-7635744D9D4E}">
  <dimension ref="A1:H38"/>
  <sheetViews>
    <sheetView workbookViewId="0"/>
  </sheetViews>
  <sheetFormatPr baseColWidth="10" defaultColWidth="8.83203125" defaultRowHeight="15" x14ac:dyDescent="0.2"/>
  <cols>
    <col min="2" max="2" width="38.1640625" customWidth="1"/>
    <col min="3" max="8" width="20.83203125" customWidth="1"/>
  </cols>
  <sheetData>
    <row r="1" spans="1:8" x14ac:dyDescent="0.2">
      <c r="A1" s="62" t="s">
        <v>130</v>
      </c>
      <c r="B1" s="3"/>
      <c r="C1" s="2"/>
      <c r="D1" s="2"/>
      <c r="E1" s="2"/>
      <c r="F1" s="2"/>
      <c r="G1" s="2"/>
      <c r="H1" s="2"/>
    </row>
    <row r="2" spans="1:8" x14ac:dyDescent="0.2">
      <c r="A2" s="1"/>
      <c r="B2" s="3"/>
      <c r="C2" s="2"/>
      <c r="D2" s="2"/>
      <c r="E2" s="2"/>
      <c r="F2" s="2"/>
      <c r="G2" s="2"/>
      <c r="H2" s="2"/>
    </row>
    <row r="3" spans="1:8" ht="16" x14ac:dyDescent="0.2">
      <c r="A3" s="1"/>
      <c r="B3" s="29" t="s">
        <v>111</v>
      </c>
      <c r="C3" s="2"/>
      <c r="D3" s="2"/>
      <c r="E3" s="2"/>
      <c r="F3" s="2"/>
      <c r="G3" s="2"/>
      <c r="H3" s="2"/>
    </row>
    <row r="4" spans="1:8" ht="16" x14ac:dyDescent="0.2">
      <c r="A4" s="1"/>
      <c r="B4" s="23" t="s">
        <v>1</v>
      </c>
      <c r="C4" s="63" t="s">
        <v>2</v>
      </c>
      <c r="D4" s="63"/>
      <c r="E4" s="63"/>
      <c r="F4" s="63" t="s">
        <v>3</v>
      </c>
      <c r="G4" s="63"/>
      <c r="H4" s="63"/>
    </row>
    <row r="5" spans="1:8" ht="16" x14ac:dyDescent="0.2">
      <c r="A5" s="1"/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</row>
    <row r="6" spans="1:8" ht="32" x14ac:dyDescent="0.2">
      <c r="A6" s="1"/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</row>
    <row r="7" spans="1:8" ht="32.25" customHeight="1" x14ac:dyDescent="0.2">
      <c r="B7" s="5" t="s">
        <v>112</v>
      </c>
      <c r="C7" s="4">
        <f>'[1]Opt. A'!E12</f>
        <v>2028</v>
      </c>
      <c r="D7" s="4">
        <f>'[1]Opt. B'!E12</f>
        <v>2030</v>
      </c>
      <c r="E7" s="4">
        <f>'[1]Opt. C'!E12</f>
        <v>2032</v>
      </c>
      <c r="F7" s="4">
        <f>'[1]Opt. D'!E12</f>
        <v>2032</v>
      </c>
      <c r="G7" s="4">
        <f>'[1]Opt. E'!E12</f>
        <v>2029</v>
      </c>
      <c r="H7" s="4">
        <f>'[1]Opt. F'!E12</f>
        <v>2028</v>
      </c>
    </row>
    <row r="8" spans="1:8" ht="32.25" customHeight="1" x14ac:dyDescent="0.2">
      <c r="B8" s="5" t="s">
        <v>113</v>
      </c>
      <c r="C8" s="9">
        <f>'[1]Opt. A'!E22*1000</f>
        <v>1000000</v>
      </c>
      <c r="D8" s="9">
        <f>'[1]Opt. B'!E22*1000</f>
        <v>800000</v>
      </c>
      <c r="E8" s="9">
        <f>'[1]Opt. C'!E22*1000</f>
        <v>750000</v>
      </c>
      <c r="F8" s="9">
        <f>'[1]Opt. D'!E22*1000</f>
        <v>750000</v>
      </c>
      <c r="G8" s="9">
        <f>'[1]Opt. E'!E22*1000</f>
        <v>1000000</v>
      </c>
      <c r="H8" s="9">
        <f>'[1]Opt. F'!E22*1000</f>
        <v>1000000</v>
      </c>
    </row>
    <row r="9" spans="1:8" ht="32.25" customHeight="1" x14ac:dyDescent="0.2">
      <c r="B9" s="5" t="s">
        <v>114</v>
      </c>
      <c r="C9" s="58">
        <f>'[1]Opt. A'!E35</f>
        <v>140</v>
      </c>
      <c r="D9" s="58">
        <f>'[1]Opt. B'!E35</f>
        <v>550</v>
      </c>
      <c r="E9" s="58">
        <f>'[1]Opt. C'!E35</f>
        <v>1500</v>
      </c>
      <c r="F9" s="58">
        <f>'[1]Opt. D'!E35</f>
        <v>1500</v>
      </c>
      <c r="G9" s="58">
        <f>'[1]Opt. E'!E35</f>
        <v>160</v>
      </c>
      <c r="H9" s="58">
        <f>'[1]Opt. F'!E35</f>
        <v>525</v>
      </c>
    </row>
    <row r="10" spans="1:8" ht="20.25" customHeight="1" x14ac:dyDescent="0.2"/>
    <row r="11" spans="1:8" ht="20.25" customHeight="1" x14ac:dyDescent="0.2">
      <c r="B11" s="3"/>
    </row>
    <row r="12" spans="1:8" ht="24" customHeight="1" x14ac:dyDescent="0.2">
      <c r="C12" s="64" t="s">
        <v>103</v>
      </c>
      <c r="D12" s="65"/>
      <c r="F12" s="64" t="s">
        <v>115</v>
      </c>
      <c r="G12" s="65"/>
    </row>
    <row r="13" spans="1:8" x14ac:dyDescent="0.2">
      <c r="C13" s="32">
        <v>2025</v>
      </c>
      <c r="D13" s="59">
        <v>0.72</v>
      </c>
      <c r="F13" s="32" t="s">
        <v>116</v>
      </c>
      <c r="G13" s="32"/>
    </row>
    <row r="14" spans="1:8" x14ac:dyDescent="0.2">
      <c r="C14" s="32">
        <f t="shared" ref="C14:C38" si="0">C13+1</f>
        <v>2026</v>
      </c>
      <c r="D14" s="59">
        <v>0.72</v>
      </c>
      <c r="F14" s="60" t="s">
        <v>117</v>
      </c>
      <c r="G14" s="61">
        <v>240</v>
      </c>
    </row>
    <row r="15" spans="1:8" x14ac:dyDescent="0.2">
      <c r="C15" s="32">
        <f t="shared" si="0"/>
        <v>2027</v>
      </c>
      <c r="D15" s="59">
        <v>0.72</v>
      </c>
      <c r="F15" s="60" t="s">
        <v>118</v>
      </c>
      <c r="G15" s="61">
        <v>2400</v>
      </c>
    </row>
    <row r="16" spans="1:8" x14ac:dyDescent="0.2">
      <c r="C16" s="32">
        <f t="shared" si="0"/>
        <v>2028</v>
      </c>
      <c r="D16" s="59">
        <v>0.26</v>
      </c>
      <c r="F16" s="32"/>
      <c r="G16" s="61"/>
    </row>
    <row r="17" spans="3:7" x14ac:dyDescent="0.2">
      <c r="C17" s="32">
        <f t="shared" si="0"/>
        <v>2029</v>
      </c>
      <c r="D17" s="59">
        <v>0.26200000000000001</v>
      </c>
      <c r="F17" s="32" t="s">
        <v>119</v>
      </c>
      <c r="G17" s="61"/>
    </row>
    <row r="18" spans="3:7" x14ac:dyDescent="0.2">
      <c r="C18" s="32">
        <f t="shared" si="0"/>
        <v>2030</v>
      </c>
      <c r="D18" s="59">
        <v>0.23799999999999999</v>
      </c>
      <c r="F18" s="60" t="s">
        <v>118</v>
      </c>
      <c r="G18" s="61">
        <v>240</v>
      </c>
    </row>
    <row r="19" spans="3:7" x14ac:dyDescent="0.2">
      <c r="C19" s="32">
        <f t="shared" si="0"/>
        <v>2031</v>
      </c>
      <c r="D19" s="59">
        <v>0.20799999999999999</v>
      </c>
      <c r="F19" s="32"/>
      <c r="G19" s="61"/>
    </row>
    <row r="20" spans="3:7" x14ac:dyDescent="0.2">
      <c r="C20" s="32">
        <f t="shared" si="0"/>
        <v>2032</v>
      </c>
      <c r="D20" s="59">
        <v>0.17799999999999999</v>
      </c>
      <c r="F20" s="32" t="s">
        <v>120</v>
      </c>
      <c r="G20" s="61"/>
    </row>
    <row r="21" spans="3:7" x14ac:dyDescent="0.2">
      <c r="C21" s="32">
        <f t="shared" si="0"/>
        <v>2033</v>
      </c>
      <c r="D21" s="59">
        <v>0.14799999999999999</v>
      </c>
      <c r="F21" s="60" t="s">
        <v>121</v>
      </c>
      <c r="G21" s="61">
        <v>228</v>
      </c>
    </row>
    <row r="22" spans="3:7" x14ac:dyDescent="0.2">
      <c r="C22" s="32">
        <f t="shared" si="0"/>
        <v>2034</v>
      </c>
      <c r="D22" s="59">
        <v>0.11799999999999999</v>
      </c>
      <c r="F22" s="60" t="s">
        <v>122</v>
      </c>
      <c r="G22" s="61">
        <v>540</v>
      </c>
    </row>
    <row r="23" spans="3:7" x14ac:dyDescent="0.2">
      <c r="C23" s="32">
        <f t="shared" si="0"/>
        <v>2035</v>
      </c>
      <c r="D23" s="59">
        <v>8.7999999999999995E-2</v>
      </c>
      <c r="F23" s="32"/>
      <c r="G23" s="61"/>
    </row>
    <row r="24" spans="3:7" x14ac:dyDescent="0.2">
      <c r="C24" s="32">
        <f t="shared" si="0"/>
        <v>2036</v>
      </c>
      <c r="D24" s="59">
        <v>5.8000000000000003E-2</v>
      </c>
      <c r="F24" s="32" t="s">
        <v>123</v>
      </c>
      <c r="G24" s="61"/>
    </row>
    <row r="25" spans="3:7" x14ac:dyDescent="0.2">
      <c r="C25" s="32">
        <f t="shared" si="0"/>
        <v>2037</v>
      </c>
      <c r="D25" s="59">
        <v>0.05</v>
      </c>
      <c r="F25" s="60" t="s">
        <v>124</v>
      </c>
      <c r="G25" s="61">
        <v>100</v>
      </c>
    </row>
    <row r="26" spans="3:7" x14ac:dyDescent="0.2">
      <c r="C26" s="32">
        <f t="shared" si="0"/>
        <v>2038</v>
      </c>
      <c r="D26" s="59">
        <v>0.05</v>
      </c>
      <c r="F26" s="60" t="s">
        <v>125</v>
      </c>
      <c r="G26" s="61">
        <v>228</v>
      </c>
    </row>
    <row r="27" spans="3:7" x14ac:dyDescent="0.2">
      <c r="C27" s="32">
        <f t="shared" si="0"/>
        <v>2039</v>
      </c>
      <c r="D27" s="59">
        <v>0.04</v>
      </c>
      <c r="F27" s="32"/>
      <c r="G27" s="61"/>
    </row>
    <row r="28" spans="3:7" x14ac:dyDescent="0.2">
      <c r="C28" s="32">
        <f t="shared" si="0"/>
        <v>2040</v>
      </c>
      <c r="D28" s="59">
        <v>0.04</v>
      </c>
      <c r="F28" s="32" t="s">
        <v>126</v>
      </c>
      <c r="G28" s="61"/>
    </row>
    <row r="29" spans="3:7" x14ac:dyDescent="0.2">
      <c r="C29" s="32">
        <f t="shared" si="0"/>
        <v>2041</v>
      </c>
      <c r="D29" s="59">
        <v>0.03</v>
      </c>
      <c r="F29" s="60" t="s">
        <v>118</v>
      </c>
      <c r="G29" s="61">
        <v>240</v>
      </c>
    </row>
    <row r="30" spans="3:7" x14ac:dyDescent="0.2">
      <c r="C30" s="32">
        <f t="shared" si="0"/>
        <v>2042</v>
      </c>
      <c r="D30" s="59">
        <v>0.03</v>
      </c>
      <c r="F30" s="32"/>
      <c r="G30" s="61"/>
    </row>
    <row r="31" spans="3:7" x14ac:dyDescent="0.2">
      <c r="C31" s="32">
        <f t="shared" si="0"/>
        <v>2043</v>
      </c>
      <c r="D31" s="59">
        <v>0.03</v>
      </c>
      <c r="F31" s="32" t="s">
        <v>127</v>
      </c>
      <c r="G31" s="61"/>
    </row>
    <row r="32" spans="3:7" x14ac:dyDescent="0.2">
      <c r="C32" s="32">
        <f t="shared" si="0"/>
        <v>2044</v>
      </c>
      <c r="D32" s="59">
        <v>0.03</v>
      </c>
      <c r="F32" s="60" t="s">
        <v>117</v>
      </c>
      <c r="G32" s="61">
        <v>120</v>
      </c>
    </row>
    <row r="33" spans="3:7" x14ac:dyDescent="0.2">
      <c r="C33" s="32">
        <f t="shared" si="0"/>
        <v>2045</v>
      </c>
      <c r="D33" s="59">
        <v>0.03</v>
      </c>
      <c r="F33" s="32"/>
      <c r="G33" s="61"/>
    </row>
    <row r="34" spans="3:7" x14ac:dyDescent="0.2">
      <c r="C34" s="32">
        <f t="shared" si="0"/>
        <v>2046</v>
      </c>
      <c r="D34" s="59">
        <v>0.03</v>
      </c>
      <c r="F34" s="32" t="s">
        <v>128</v>
      </c>
      <c r="G34" s="61"/>
    </row>
    <row r="35" spans="3:7" x14ac:dyDescent="0.2">
      <c r="C35" s="32">
        <f t="shared" si="0"/>
        <v>2047</v>
      </c>
      <c r="D35" s="59">
        <v>0.03</v>
      </c>
      <c r="F35" s="60" t="s">
        <v>118</v>
      </c>
      <c r="G35" s="61">
        <v>216</v>
      </c>
    </row>
    <row r="36" spans="3:7" x14ac:dyDescent="0.2">
      <c r="C36" s="32">
        <f t="shared" si="0"/>
        <v>2048</v>
      </c>
      <c r="D36" s="59">
        <v>0.03</v>
      </c>
      <c r="F36" s="60" t="s">
        <v>129</v>
      </c>
      <c r="G36" s="61">
        <v>300</v>
      </c>
    </row>
    <row r="37" spans="3:7" x14ac:dyDescent="0.2">
      <c r="C37" s="32">
        <f t="shared" si="0"/>
        <v>2049</v>
      </c>
      <c r="D37" s="59">
        <v>0.03</v>
      </c>
    </row>
    <row r="38" spans="3:7" x14ac:dyDescent="0.2">
      <c r="C38" s="32">
        <f t="shared" si="0"/>
        <v>2050</v>
      </c>
      <c r="D38" s="59">
        <v>0.03</v>
      </c>
    </row>
  </sheetData>
  <mergeCells count="4">
    <mergeCell ref="C4:E4"/>
    <mergeCell ref="F4:H4"/>
    <mergeCell ref="C12:D12"/>
    <mergeCell ref="F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405C-6E2B-4CD9-9C96-CBBA0D80E955}">
  <dimension ref="A1:E15"/>
  <sheetViews>
    <sheetView workbookViewId="0">
      <selection activeCell="H22" sqref="H22"/>
    </sheetView>
  </sheetViews>
  <sheetFormatPr baseColWidth="10" defaultColWidth="8.83203125" defaultRowHeight="15" x14ac:dyDescent="0.2"/>
  <cols>
    <col min="2" max="2" width="37.1640625" customWidth="1"/>
    <col min="4" max="5" width="16.1640625" customWidth="1"/>
  </cols>
  <sheetData>
    <row r="1" spans="1:5" x14ac:dyDescent="0.2">
      <c r="A1" s="30" t="s">
        <v>131</v>
      </c>
    </row>
    <row r="4" spans="1:5" x14ac:dyDescent="0.2">
      <c r="B4" s="49" t="s">
        <v>102</v>
      </c>
      <c r="C4" s="49"/>
      <c r="D4" s="49">
        <v>2028</v>
      </c>
      <c r="E4" s="49">
        <v>2029</v>
      </c>
    </row>
    <row r="5" spans="1:5" ht="15.75" customHeight="1" x14ac:dyDescent="0.2">
      <c r="B5" s="1" t="s">
        <v>103</v>
      </c>
      <c r="C5" s="1"/>
      <c r="D5" s="50">
        <v>0.26</v>
      </c>
      <c r="E5" s="50">
        <v>0.26200000000000001</v>
      </c>
    </row>
    <row r="6" spans="1:5" ht="15.75" customHeight="1" x14ac:dyDescent="0.2">
      <c r="B6" t="s">
        <v>104</v>
      </c>
      <c r="D6" s="51">
        <v>1000000</v>
      </c>
      <c r="E6" s="52">
        <f>D6*(1+E5)</f>
        <v>1262000</v>
      </c>
    </row>
    <row r="7" spans="1:5" ht="15.75" customHeight="1" x14ac:dyDescent="0.2"/>
    <row r="8" spans="1:5" x14ac:dyDescent="0.2">
      <c r="D8" s="51"/>
      <c r="E8" s="51"/>
    </row>
    <row r="9" spans="1:5" x14ac:dyDescent="0.2">
      <c r="B9" t="s">
        <v>132</v>
      </c>
      <c r="D9" s="51">
        <v>0</v>
      </c>
      <c r="E9" s="51">
        <f>D13</f>
        <v>1000000</v>
      </c>
    </row>
    <row r="10" spans="1:5" x14ac:dyDescent="0.2">
      <c r="B10" t="s">
        <v>105</v>
      </c>
      <c r="C10" s="53">
        <v>0.1</v>
      </c>
      <c r="D10" s="51">
        <f>D9*-C10</f>
        <v>0</v>
      </c>
      <c r="E10" s="51">
        <f>E9*-C10</f>
        <v>-100000</v>
      </c>
    </row>
    <row r="11" spans="1:5" x14ac:dyDescent="0.2">
      <c r="B11" s="54" t="s">
        <v>106</v>
      </c>
      <c r="C11" s="54"/>
      <c r="D11" s="55">
        <f>SUM(D9:D10)</f>
        <v>0</v>
      </c>
      <c r="E11" s="55">
        <f>SUM(E9:E10)</f>
        <v>900000</v>
      </c>
    </row>
    <row r="12" spans="1:5" x14ac:dyDescent="0.2">
      <c r="B12" t="s">
        <v>107</v>
      </c>
      <c r="D12" s="51">
        <f>D6</f>
        <v>1000000</v>
      </c>
      <c r="E12" s="51">
        <f>E6</f>
        <v>1262000</v>
      </c>
    </row>
    <row r="13" spans="1:5" x14ac:dyDescent="0.2">
      <c r="B13" s="54" t="s">
        <v>108</v>
      </c>
      <c r="C13" s="54"/>
      <c r="D13" s="55">
        <f>SUM(D11:D12)</f>
        <v>1000000</v>
      </c>
      <c r="E13" s="55">
        <f>SUM(E11:E12)</f>
        <v>2162000</v>
      </c>
    </row>
    <row r="14" spans="1:5" x14ac:dyDescent="0.2">
      <c r="B14" t="s">
        <v>109</v>
      </c>
      <c r="D14" s="56">
        <v>140</v>
      </c>
      <c r="E14" s="56">
        <v>140</v>
      </c>
    </row>
    <row r="15" spans="1:5" x14ac:dyDescent="0.2">
      <c r="B15" s="54" t="s">
        <v>110</v>
      </c>
      <c r="C15" s="54"/>
      <c r="D15" s="57">
        <f>D13*D14</f>
        <v>140000000</v>
      </c>
      <c r="E15" s="57">
        <f>E13*E14</f>
        <v>302680000</v>
      </c>
    </row>
  </sheetData>
  <pageMargins left="0.7" right="0.7" top="0.75" bottom="0.75" header="0.3" footer="0.3"/>
  <ignoredErrors>
    <ignoredError sqref="D12:E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0DA5-8C88-4C45-AB54-EA1C4E003048}">
  <dimension ref="A1:H20"/>
  <sheetViews>
    <sheetView workbookViewId="0">
      <selection activeCell="G30" sqref="G30"/>
    </sheetView>
  </sheetViews>
  <sheetFormatPr baseColWidth="10" defaultColWidth="8.83203125" defaultRowHeight="15" x14ac:dyDescent="0.2"/>
  <cols>
    <col min="2" max="2" width="26.83203125" customWidth="1"/>
    <col min="3" max="8" width="14.1640625" customWidth="1"/>
  </cols>
  <sheetData>
    <row r="1" spans="1:8" ht="16" x14ac:dyDescent="0.2">
      <c r="A1" s="31" t="s">
        <v>78</v>
      </c>
    </row>
    <row r="3" spans="1:8" ht="16" x14ac:dyDescent="0.2">
      <c r="B3" s="23" t="s">
        <v>1</v>
      </c>
      <c r="C3" s="63" t="s">
        <v>2</v>
      </c>
      <c r="D3" s="63"/>
      <c r="E3" s="63"/>
      <c r="F3" s="63" t="s">
        <v>3</v>
      </c>
      <c r="G3" s="63"/>
      <c r="H3" s="63"/>
    </row>
    <row r="4" spans="1:8" ht="16" x14ac:dyDescent="0.2">
      <c r="B4" s="23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</row>
    <row r="5" spans="1:8" ht="64" x14ac:dyDescent="0.2">
      <c r="B5" s="23" t="s">
        <v>11</v>
      </c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  <c r="H5" s="22" t="s">
        <v>17</v>
      </c>
    </row>
    <row r="6" spans="1:8" x14ac:dyDescent="0.2">
      <c r="B6" s="32" t="s">
        <v>79</v>
      </c>
      <c r="C6" s="33">
        <v>200</v>
      </c>
      <c r="D6" s="33">
        <v>480</v>
      </c>
      <c r="E6" s="33">
        <v>1200</v>
      </c>
      <c r="F6" s="33">
        <v>1200</v>
      </c>
      <c r="G6" s="33">
        <v>200</v>
      </c>
      <c r="H6" s="33">
        <v>1000</v>
      </c>
    </row>
    <row r="7" spans="1:8" ht="16" x14ac:dyDescent="0.2">
      <c r="B7" s="5" t="s">
        <v>80</v>
      </c>
      <c r="C7" s="34">
        <v>0.99999000000000005</v>
      </c>
      <c r="D7" s="34">
        <v>0.99990000000000001</v>
      </c>
      <c r="E7" s="34">
        <v>0.98</v>
      </c>
      <c r="F7" s="34">
        <v>0.98</v>
      </c>
      <c r="G7" s="34">
        <v>0.99</v>
      </c>
      <c r="H7" s="34">
        <v>0.95</v>
      </c>
    </row>
    <row r="8" spans="1:8" ht="16" x14ac:dyDescent="0.2">
      <c r="B8" s="5" t="s">
        <v>81</v>
      </c>
      <c r="C8" s="34">
        <f>1-C7</f>
        <v>9.9999999999544897E-6</v>
      </c>
      <c r="D8" s="34">
        <f t="shared" ref="D8:H8" si="0">1-D7</f>
        <v>9.9999999999988987E-5</v>
      </c>
      <c r="E8" s="34">
        <f t="shared" si="0"/>
        <v>2.0000000000000018E-2</v>
      </c>
      <c r="F8" s="34">
        <f t="shared" si="0"/>
        <v>2.0000000000000018E-2</v>
      </c>
      <c r="G8" s="34">
        <f t="shared" si="0"/>
        <v>1.0000000000000009E-2</v>
      </c>
      <c r="H8" s="34">
        <f t="shared" si="0"/>
        <v>5.0000000000000044E-2</v>
      </c>
    </row>
    <row r="9" spans="1:8" x14ac:dyDescent="0.2">
      <c r="B9" s="32" t="s">
        <v>82</v>
      </c>
      <c r="C9" s="34">
        <f t="shared" ref="C9:H9" si="1">C8*5</f>
        <v>4.9999999999772449E-5</v>
      </c>
      <c r="D9" s="34">
        <f t="shared" si="1"/>
        <v>4.9999999999994493E-4</v>
      </c>
      <c r="E9" s="34">
        <f t="shared" si="1"/>
        <v>0.10000000000000009</v>
      </c>
      <c r="F9" s="34">
        <f t="shared" si="1"/>
        <v>0.10000000000000009</v>
      </c>
      <c r="G9" s="34">
        <f t="shared" si="1"/>
        <v>5.0000000000000044E-2</v>
      </c>
      <c r="H9" s="34">
        <f t="shared" si="1"/>
        <v>0.25000000000000022</v>
      </c>
    </row>
    <row r="10" spans="1:8" x14ac:dyDescent="0.2">
      <c r="B10" s="32" t="s">
        <v>83</v>
      </c>
      <c r="C10" s="35">
        <v>40</v>
      </c>
      <c r="D10" s="35">
        <f>C10</f>
        <v>40</v>
      </c>
      <c r="E10" s="35">
        <f t="shared" ref="E10:H10" si="2">D10</f>
        <v>40</v>
      </c>
      <c r="F10" s="35">
        <f t="shared" si="2"/>
        <v>40</v>
      </c>
      <c r="G10" s="35">
        <f t="shared" si="2"/>
        <v>40</v>
      </c>
      <c r="H10" s="35">
        <f t="shared" si="2"/>
        <v>40</v>
      </c>
    </row>
    <row r="11" spans="1:8" x14ac:dyDescent="0.2">
      <c r="B11" s="32" t="s">
        <v>84</v>
      </c>
      <c r="C11" s="36">
        <v>4</v>
      </c>
      <c r="D11" s="33">
        <v>4</v>
      </c>
      <c r="E11" s="33">
        <v>4</v>
      </c>
      <c r="F11" s="33">
        <v>4</v>
      </c>
      <c r="G11" s="33">
        <v>4</v>
      </c>
      <c r="H11" s="33">
        <v>4</v>
      </c>
    </row>
    <row r="12" spans="1:8" x14ac:dyDescent="0.2">
      <c r="B12" s="32" t="s">
        <v>85</v>
      </c>
      <c r="C12" s="37">
        <f t="shared" ref="C12:H12" si="3">C6*1000/C10*C11</f>
        <v>20000</v>
      </c>
      <c r="D12" s="37">
        <f t="shared" si="3"/>
        <v>48000</v>
      </c>
      <c r="E12" s="37">
        <f t="shared" si="3"/>
        <v>120000</v>
      </c>
      <c r="F12" s="37">
        <f t="shared" si="3"/>
        <v>120000</v>
      </c>
      <c r="G12" s="37">
        <f t="shared" si="3"/>
        <v>20000</v>
      </c>
      <c r="H12" s="37">
        <f t="shared" si="3"/>
        <v>100000</v>
      </c>
    </row>
    <row r="13" spans="1:8" x14ac:dyDescent="0.2">
      <c r="B13" s="32" t="s">
        <v>86</v>
      </c>
      <c r="C13" s="33">
        <v>90</v>
      </c>
      <c r="D13" s="33">
        <f>D14/D12</f>
        <v>37.5</v>
      </c>
      <c r="E13" s="33">
        <f t="shared" ref="E13:H13" si="4">E14/E12</f>
        <v>15</v>
      </c>
      <c r="F13" s="33">
        <f t="shared" si="4"/>
        <v>15</v>
      </c>
      <c r="G13" s="33">
        <f t="shared" si="4"/>
        <v>90</v>
      </c>
      <c r="H13" s="33">
        <f t="shared" si="4"/>
        <v>18</v>
      </c>
    </row>
    <row r="14" spans="1:8" x14ac:dyDescent="0.2">
      <c r="B14" s="32" t="s">
        <v>87</v>
      </c>
      <c r="C14" s="35">
        <f>C12*C13</f>
        <v>1800000</v>
      </c>
      <c r="D14" s="35">
        <f>C14</f>
        <v>1800000</v>
      </c>
      <c r="E14" s="35">
        <f t="shared" ref="E14:H14" si="5">D14</f>
        <v>1800000</v>
      </c>
      <c r="F14" s="35">
        <f t="shared" si="5"/>
        <v>1800000</v>
      </c>
      <c r="G14" s="35">
        <f t="shared" si="5"/>
        <v>1800000</v>
      </c>
      <c r="H14" s="35">
        <f t="shared" si="5"/>
        <v>1800000</v>
      </c>
    </row>
    <row r="15" spans="1:8" x14ac:dyDescent="0.2">
      <c r="B15" s="32" t="s">
        <v>88</v>
      </c>
      <c r="C15" s="33">
        <v>3.25</v>
      </c>
      <c r="D15" s="33">
        <v>3.25</v>
      </c>
      <c r="E15" s="33">
        <v>3.25</v>
      </c>
      <c r="F15" s="33">
        <v>3.25</v>
      </c>
      <c r="G15" s="33">
        <v>3.25</v>
      </c>
      <c r="H15" s="33">
        <v>3.25</v>
      </c>
    </row>
    <row r="16" spans="1:8" x14ac:dyDescent="0.2">
      <c r="B16" s="32" t="s">
        <v>89</v>
      </c>
      <c r="C16" s="38">
        <f>C15*C13*24*C12</f>
        <v>140400000</v>
      </c>
      <c r="D16" s="38">
        <f t="shared" ref="D16:H16" si="6">D15*D13*24*D12</f>
        <v>140400000</v>
      </c>
      <c r="E16" s="38">
        <f t="shared" si="6"/>
        <v>140400000</v>
      </c>
      <c r="F16" s="38">
        <f t="shared" si="6"/>
        <v>140400000</v>
      </c>
      <c r="G16" s="38">
        <f t="shared" si="6"/>
        <v>140400000</v>
      </c>
      <c r="H16" s="38">
        <f t="shared" si="6"/>
        <v>140400000</v>
      </c>
    </row>
    <row r="17" spans="2:8" x14ac:dyDescent="0.2">
      <c r="B17" s="32" t="s">
        <v>90</v>
      </c>
      <c r="C17" s="39">
        <f>C9</f>
        <v>4.9999999999772449E-5</v>
      </c>
      <c r="D17" s="39">
        <f t="shared" ref="D17:H17" si="7">D9</f>
        <v>4.9999999999994493E-4</v>
      </c>
      <c r="E17" s="39">
        <f t="shared" si="7"/>
        <v>0.10000000000000009</v>
      </c>
      <c r="F17" s="39">
        <f t="shared" si="7"/>
        <v>0.10000000000000009</v>
      </c>
      <c r="G17" s="39">
        <f t="shared" si="7"/>
        <v>5.0000000000000044E-2</v>
      </c>
      <c r="H17" s="39">
        <f t="shared" si="7"/>
        <v>0.25000000000000022</v>
      </c>
    </row>
    <row r="18" spans="2:8" x14ac:dyDescent="0.2">
      <c r="B18" s="32" t="s">
        <v>91</v>
      </c>
      <c r="C18" s="40">
        <f>C16*C9</f>
        <v>7019.9999999680522</v>
      </c>
      <c r="D18" s="40">
        <f t="shared" ref="D18:H18" si="8">D16*D9</f>
        <v>70199.999999992273</v>
      </c>
      <c r="E18" s="40">
        <f t="shared" si="8"/>
        <v>14040000.000000013</v>
      </c>
      <c r="F18" s="40">
        <f t="shared" si="8"/>
        <v>14040000.000000013</v>
      </c>
      <c r="G18" s="40">
        <f t="shared" si="8"/>
        <v>7020000.0000000065</v>
      </c>
      <c r="H18" s="40">
        <f t="shared" si="8"/>
        <v>35100000.00000003</v>
      </c>
    </row>
    <row r="19" spans="2:8" x14ac:dyDescent="0.2">
      <c r="B19" s="32" t="s">
        <v>92</v>
      </c>
      <c r="C19" s="36">
        <f>ROUNDDOWN(365/C13,0)</f>
        <v>4</v>
      </c>
      <c r="D19" s="36">
        <f t="shared" ref="D19:H19" si="9">ROUNDDOWN(365/D13,0)</f>
        <v>9</v>
      </c>
      <c r="E19" s="36">
        <f t="shared" si="9"/>
        <v>24</v>
      </c>
      <c r="F19" s="36">
        <f t="shared" si="9"/>
        <v>24</v>
      </c>
      <c r="G19" s="36">
        <f t="shared" si="9"/>
        <v>4</v>
      </c>
      <c r="H19" s="36">
        <f t="shared" si="9"/>
        <v>20</v>
      </c>
    </row>
    <row r="20" spans="2:8" x14ac:dyDescent="0.2">
      <c r="B20" s="41" t="s">
        <v>93</v>
      </c>
      <c r="C20" s="42">
        <f>C19*C18</f>
        <v>28079.999999872209</v>
      </c>
      <c r="D20" s="42">
        <f t="shared" ref="D20:H20" si="10">D19*D18</f>
        <v>631799.9999999305</v>
      </c>
      <c r="E20" s="42">
        <f t="shared" si="10"/>
        <v>336960000.0000003</v>
      </c>
      <c r="F20" s="42">
        <f t="shared" si="10"/>
        <v>336960000.0000003</v>
      </c>
      <c r="G20" s="42">
        <f t="shared" si="10"/>
        <v>28080000.000000026</v>
      </c>
      <c r="H20" s="42">
        <f t="shared" si="10"/>
        <v>702000000.0000006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E7BB-ECB9-4FF5-8968-E3E52AE4BAA9}">
  <dimension ref="A1:H30"/>
  <sheetViews>
    <sheetView workbookViewId="0">
      <selection activeCell="K22" sqref="K22"/>
    </sheetView>
  </sheetViews>
  <sheetFormatPr baseColWidth="10" defaultColWidth="8.83203125" defaultRowHeight="15" x14ac:dyDescent="0.2"/>
  <cols>
    <col min="1" max="1" width="3.1640625" customWidth="1"/>
    <col min="2" max="2" width="12.1640625" style="48" customWidth="1"/>
    <col min="3" max="3" width="16.83203125" customWidth="1"/>
    <col min="4" max="5" width="13.5" customWidth="1"/>
    <col min="6" max="6" width="15.1640625" customWidth="1"/>
    <col min="7" max="8" width="13" customWidth="1"/>
    <col min="13" max="13" width="12" bestFit="1" customWidth="1"/>
  </cols>
  <sheetData>
    <row r="1" spans="1:8" ht="16" x14ac:dyDescent="0.2">
      <c r="A1" s="31" t="s">
        <v>101</v>
      </c>
    </row>
    <row r="3" spans="1:8" x14ac:dyDescent="0.2">
      <c r="B3" s="66" t="s">
        <v>94</v>
      </c>
      <c r="C3" s="66" t="s">
        <v>95</v>
      </c>
      <c r="D3" s="66"/>
      <c r="E3" s="66"/>
      <c r="F3" s="66" t="s">
        <v>133</v>
      </c>
      <c r="G3" s="66"/>
      <c r="H3" s="66"/>
    </row>
    <row r="4" spans="1:8" ht="32" x14ac:dyDescent="0.2">
      <c r="B4" s="67"/>
      <c r="C4" s="43" t="s">
        <v>96</v>
      </c>
      <c r="D4" s="66" t="s">
        <v>97</v>
      </c>
      <c r="E4" s="66"/>
      <c r="F4" s="43" t="s">
        <v>96</v>
      </c>
      <c r="G4" s="66" t="s">
        <v>97</v>
      </c>
      <c r="H4" s="66"/>
    </row>
    <row r="5" spans="1:8" ht="24.5" customHeight="1" x14ac:dyDescent="0.2">
      <c r="B5" s="67"/>
      <c r="C5" s="44" t="s">
        <v>98</v>
      </c>
      <c r="D5" s="43" t="s">
        <v>99</v>
      </c>
      <c r="E5" s="43" t="s">
        <v>100</v>
      </c>
      <c r="F5" s="44" t="s">
        <v>98</v>
      </c>
      <c r="G5" s="43" t="s">
        <v>99</v>
      </c>
      <c r="H5" s="43" t="s">
        <v>100</v>
      </c>
    </row>
    <row r="6" spans="1:8" x14ac:dyDescent="0.2">
      <c r="B6" s="45">
        <v>2026</v>
      </c>
      <c r="C6" s="46">
        <v>3.8745552723797392</v>
      </c>
      <c r="D6" s="47">
        <f>1-0.2/C6</f>
        <v>0.94838117256302279</v>
      </c>
      <c r="E6" s="47">
        <f>1+0.5/C6</f>
        <v>1.129047068592443</v>
      </c>
      <c r="F6" s="46">
        <v>3.365678249248246</v>
      </c>
      <c r="G6" s="47">
        <f>1-0.5/F6</f>
        <v>0.85144153333382966</v>
      </c>
      <c r="H6" s="47">
        <f>1+2/F6</f>
        <v>1.5942338666646814</v>
      </c>
    </row>
    <row r="7" spans="1:8" x14ac:dyDescent="0.2">
      <c r="B7" s="45">
        <v>2027</v>
      </c>
      <c r="C7" s="46">
        <v>3.6098126154826384</v>
      </c>
      <c r="D7" s="47">
        <f t="shared" ref="D7:D30" si="0">1-0.2/C7</f>
        <v>0.94459546206299139</v>
      </c>
      <c r="E7" s="47">
        <f t="shared" ref="E7:E30" si="1">1+0.5/C7</f>
        <v>1.1385113448425215</v>
      </c>
      <c r="F7" s="46">
        <v>3.1899437353825602</v>
      </c>
      <c r="G7" s="47">
        <f t="shared" ref="G7:G30" si="2">1-0.5/F7</f>
        <v>0.84325742349181698</v>
      </c>
      <c r="H7" s="47">
        <f t="shared" ref="H7:H30" si="3">1+2/F7</f>
        <v>1.6269703060327321</v>
      </c>
    </row>
    <row r="8" spans="1:8" x14ac:dyDescent="0.2">
      <c r="B8" s="45">
        <v>2028</v>
      </c>
      <c r="C8" s="46">
        <v>3.3639502478078533</v>
      </c>
      <c r="D8" s="47">
        <f t="shared" si="0"/>
        <v>0.94054608859618782</v>
      </c>
      <c r="E8" s="47">
        <f t="shared" si="1"/>
        <v>1.1486347785095303</v>
      </c>
      <c r="F8" s="46">
        <v>3.1963515482695808</v>
      </c>
      <c r="G8" s="47">
        <f t="shared" si="2"/>
        <v>0.84357164959821562</v>
      </c>
      <c r="H8" s="47">
        <f t="shared" si="3"/>
        <v>1.6257134016071375</v>
      </c>
    </row>
    <row r="9" spans="1:8" x14ac:dyDescent="0.2">
      <c r="B9" s="45">
        <f>B8+1</f>
        <v>2029</v>
      </c>
      <c r="C9" s="46">
        <v>3.2681936285441218</v>
      </c>
      <c r="D9" s="47">
        <f t="shared" si="0"/>
        <v>0.93880411544370657</v>
      </c>
      <c r="E9" s="47">
        <f t="shared" si="1"/>
        <v>1.1529897113907337</v>
      </c>
      <c r="F9" s="46">
        <v>3.1170347811560299</v>
      </c>
      <c r="G9" s="47">
        <f t="shared" si="2"/>
        <v>0.83959113866077473</v>
      </c>
      <c r="H9" s="47">
        <f t="shared" si="3"/>
        <v>1.6416354453569011</v>
      </c>
    </row>
    <row r="10" spans="1:8" x14ac:dyDescent="0.2">
      <c r="B10" s="45">
        <f t="shared" ref="B10:B30" si="4">B9+1</f>
        <v>2030</v>
      </c>
      <c r="C10" s="46">
        <v>3.1301307900605293</v>
      </c>
      <c r="D10" s="47">
        <f t="shared" si="0"/>
        <v>0.93610490633967003</v>
      </c>
      <c r="E10" s="47">
        <f t="shared" si="1"/>
        <v>1.1597377341508248</v>
      </c>
      <c r="F10" s="46">
        <v>2.8133072502505851</v>
      </c>
      <c r="G10" s="47">
        <f t="shared" si="2"/>
        <v>0.82227323376944894</v>
      </c>
      <c r="H10" s="47">
        <f t="shared" si="3"/>
        <v>1.710907064922204</v>
      </c>
    </row>
    <row r="11" spans="1:8" x14ac:dyDescent="0.2">
      <c r="B11" s="45">
        <f t="shared" si="4"/>
        <v>2031</v>
      </c>
      <c r="C11" s="46">
        <v>2.9852131411277476</v>
      </c>
      <c r="D11" s="47">
        <f t="shared" si="0"/>
        <v>0.93300310880835646</v>
      </c>
      <c r="E11" s="47">
        <f t="shared" si="1"/>
        <v>1.1674922279791087</v>
      </c>
      <c r="F11" s="46">
        <v>2.6397507851653854</v>
      </c>
      <c r="G11" s="47">
        <f t="shared" si="2"/>
        <v>0.81058818021388557</v>
      </c>
      <c r="H11" s="47">
        <f t="shared" si="3"/>
        <v>1.7576472791444577</v>
      </c>
    </row>
    <row r="12" spans="1:8" x14ac:dyDescent="0.2">
      <c r="B12" s="45">
        <f t="shared" si="4"/>
        <v>2032</v>
      </c>
      <c r="C12" s="46">
        <v>3.0132835970263057</v>
      </c>
      <c r="D12" s="47">
        <f t="shared" si="0"/>
        <v>0.93362722307406698</v>
      </c>
      <c r="E12" s="47">
        <f t="shared" si="1"/>
        <v>1.1659319423148324</v>
      </c>
      <c r="F12" s="46">
        <v>2.6593954862499443</v>
      </c>
      <c r="G12" s="47">
        <f t="shared" si="2"/>
        <v>0.81198734728054389</v>
      </c>
      <c r="H12" s="47">
        <f t="shared" si="3"/>
        <v>1.7520506108778247</v>
      </c>
    </row>
    <row r="13" spans="1:8" x14ac:dyDescent="0.2">
      <c r="B13" s="45">
        <f t="shared" si="4"/>
        <v>2033</v>
      </c>
      <c r="C13" s="46">
        <v>3.012928082191781</v>
      </c>
      <c r="D13" s="47">
        <f t="shared" si="0"/>
        <v>0.93361939132164473</v>
      </c>
      <c r="E13" s="47">
        <f t="shared" si="1"/>
        <v>1.1659515216958882</v>
      </c>
      <c r="F13" s="46">
        <v>2.6151784163047114</v>
      </c>
      <c r="G13" s="47">
        <f t="shared" si="2"/>
        <v>0.80880845571274329</v>
      </c>
      <c r="H13" s="47">
        <f t="shared" si="3"/>
        <v>1.7647661771490268</v>
      </c>
    </row>
    <row r="14" spans="1:8" x14ac:dyDescent="0.2">
      <c r="B14" s="45">
        <f t="shared" si="4"/>
        <v>2034</v>
      </c>
      <c r="C14" s="46">
        <v>3.1205143198470857</v>
      </c>
      <c r="D14" s="47">
        <f t="shared" si="0"/>
        <v>0.93590800121378692</v>
      </c>
      <c r="E14" s="47">
        <f t="shared" si="1"/>
        <v>1.1602299969655328</v>
      </c>
      <c r="F14" s="46">
        <v>2.7139413297694626</v>
      </c>
      <c r="G14" s="47">
        <f t="shared" si="2"/>
        <v>0.81576609836201852</v>
      </c>
      <c r="H14" s="47">
        <f t="shared" si="3"/>
        <v>1.7369356065519261</v>
      </c>
    </row>
    <row r="15" spans="1:8" x14ac:dyDescent="0.2">
      <c r="B15" s="45">
        <f t="shared" si="4"/>
        <v>2035</v>
      </c>
      <c r="C15" s="46">
        <v>3.2325663109270466</v>
      </c>
      <c r="D15" s="47">
        <f t="shared" si="0"/>
        <v>0.93812965280126204</v>
      </c>
      <c r="E15" s="47">
        <f t="shared" si="1"/>
        <v>1.154675867996845</v>
      </c>
      <c r="F15" s="46">
        <v>2.8163260273972601</v>
      </c>
      <c r="G15" s="47">
        <f t="shared" si="2"/>
        <v>0.82246373639415582</v>
      </c>
      <c r="H15" s="47">
        <f t="shared" si="3"/>
        <v>1.7101450544233767</v>
      </c>
    </row>
    <row r="16" spans="1:8" x14ac:dyDescent="0.2">
      <c r="B16" s="45">
        <f t="shared" si="4"/>
        <v>2036</v>
      </c>
      <c r="C16" s="46">
        <v>3.0256640297369417</v>
      </c>
      <c r="D16" s="47">
        <f t="shared" si="0"/>
        <v>0.93389880765532696</v>
      </c>
      <c r="E16" s="47">
        <f t="shared" si="1"/>
        <v>1.1652529808616825</v>
      </c>
      <c r="F16" s="46">
        <v>2.6106911235505792</v>
      </c>
      <c r="G16" s="47">
        <f t="shared" si="2"/>
        <v>0.80847983298767545</v>
      </c>
      <c r="H16" s="47">
        <f t="shared" si="3"/>
        <v>1.766080668049298</v>
      </c>
    </row>
    <row r="17" spans="2:8" x14ac:dyDescent="0.2">
      <c r="B17" s="45">
        <f t="shared" si="4"/>
        <v>2037</v>
      </c>
      <c r="C17" s="46">
        <v>2.9342541095890411</v>
      </c>
      <c r="D17" s="47">
        <f t="shared" si="0"/>
        <v>0.93183957744272827</v>
      </c>
      <c r="E17" s="47">
        <f t="shared" si="1"/>
        <v>1.1704010563931793</v>
      </c>
      <c r="F17" s="46">
        <v>2.5195054460407618</v>
      </c>
      <c r="G17" s="47">
        <f t="shared" si="2"/>
        <v>0.80154835514020528</v>
      </c>
      <c r="H17" s="47">
        <f t="shared" si="3"/>
        <v>1.7938065794391789</v>
      </c>
    </row>
    <row r="18" spans="2:8" x14ac:dyDescent="0.2">
      <c r="B18" s="45">
        <f t="shared" si="4"/>
        <v>2038</v>
      </c>
      <c r="C18" s="46">
        <v>2.9888472124880536</v>
      </c>
      <c r="D18" s="47">
        <f t="shared" si="0"/>
        <v>0.93308456880487012</v>
      </c>
      <c r="E18" s="47">
        <f t="shared" si="1"/>
        <v>1.1672885779878246</v>
      </c>
      <c r="F18" s="46">
        <v>2.5785562312061474</v>
      </c>
      <c r="G18" s="47">
        <f t="shared" si="2"/>
        <v>0.80609303999311288</v>
      </c>
      <c r="H18" s="47">
        <f t="shared" si="3"/>
        <v>1.7756278400275485</v>
      </c>
    </row>
    <row r="19" spans="2:8" x14ac:dyDescent="0.2">
      <c r="B19" s="45">
        <f t="shared" si="4"/>
        <v>2039</v>
      </c>
      <c r="C19" s="46">
        <v>3.0434403153870657</v>
      </c>
      <c r="D19" s="47">
        <f t="shared" si="0"/>
        <v>0.93428489496283618</v>
      </c>
      <c r="E19" s="47">
        <f t="shared" si="1"/>
        <v>1.1642877625929096</v>
      </c>
      <c r="F19" s="46">
        <v>2.6376070163715335</v>
      </c>
      <c r="G19" s="47">
        <f t="shared" si="2"/>
        <v>0.81043423190167541</v>
      </c>
      <c r="H19" s="47">
        <f t="shared" si="3"/>
        <v>1.7582630723932984</v>
      </c>
    </row>
    <row r="20" spans="2:8" x14ac:dyDescent="0.2">
      <c r="B20" s="45">
        <f t="shared" si="4"/>
        <v>2040</v>
      </c>
      <c r="C20" s="46">
        <v>3.0985203607184073</v>
      </c>
      <c r="D20" s="47">
        <f t="shared" si="0"/>
        <v>0.93545306252122573</v>
      </c>
      <c r="E20" s="47">
        <f t="shared" si="1"/>
        <v>1.1613673436969356</v>
      </c>
      <c r="F20" s="46">
        <v>2.7019848780122651</v>
      </c>
      <c r="G20" s="47">
        <f t="shared" si="2"/>
        <v>0.81495085184642901</v>
      </c>
      <c r="H20" s="47">
        <f t="shared" si="3"/>
        <v>1.7401965926142839</v>
      </c>
    </row>
    <row r="21" spans="2:8" x14ac:dyDescent="0.2">
      <c r="B21" s="45">
        <f t="shared" si="4"/>
        <v>2041</v>
      </c>
      <c r="C21" s="46">
        <v>3.1520445683338636</v>
      </c>
      <c r="D21" s="47">
        <f t="shared" si="0"/>
        <v>0.93654912052664352</v>
      </c>
      <c r="E21" s="47">
        <f t="shared" si="1"/>
        <v>1.1586271986833911</v>
      </c>
      <c r="F21" s="46">
        <v>2.7539501503508181</v>
      </c>
      <c r="G21" s="47">
        <f t="shared" si="2"/>
        <v>0.81844261054024292</v>
      </c>
      <c r="H21" s="47">
        <f t="shared" si="3"/>
        <v>1.7262295578390283</v>
      </c>
    </row>
    <row r="22" spans="2:8" x14ac:dyDescent="0.2">
      <c r="B22" s="45">
        <f t="shared" si="4"/>
        <v>2042</v>
      </c>
      <c r="C22" s="46">
        <v>3.2055952214080912</v>
      </c>
      <c r="D22" s="47">
        <f t="shared" si="0"/>
        <v>0.93760909092192002</v>
      </c>
      <c r="E22" s="47">
        <f t="shared" si="1"/>
        <v>1.1559772726952</v>
      </c>
      <c r="F22" s="46">
        <v>2.8109611760775133</v>
      </c>
      <c r="G22" s="47">
        <f t="shared" si="2"/>
        <v>0.8221249001034896</v>
      </c>
      <c r="H22" s="47">
        <f t="shared" si="3"/>
        <v>1.7115003995860416</v>
      </c>
    </row>
    <row r="23" spans="2:8" x14ac:dyDescent="0.2">
      <c r="B23" s="45">
        <f t="shared" si="4"/>
        <v>2043</v>
      </c>
      <c r="C23" s="46">
        <v>3.2591458744823183</v>
      </c>
      <c r="D23" s="47">
        <f t="shared" si="0"/>
        <v>0.9386342288125511</v>
      </c>
      <c r="E23" s="47">
        <f t="shared" si="1"/>
        <v>1.1534144279686223</v>
      </c>
      <c r="F23" s="46">
        <v>2.8679722018042089</v>
      </c>
      <c r="G23" s="47">
        <f t="shared" si="2"/>
        <v>0.8256607927770514</v>
      </c>
      <c r="H23" s="47">
        <f t="shared" si="3"/>
        <v>1.6973568288917942</v>
      </c>
    </row>
    <row r="24" spans="2:8" x14ac:dyDescent="0.2">
      <c r="B24" s="45">
        <f t="shared" si="4"/>
        <v>2044</v>
      </c>
      <c r="C24" s="46">
        <v>3.3131691407412811</v>
      </c>
      <c r="D24" s="47">
        <f t="shared" si="0"/>
        <v>0.93963483555951133</v>
      </c>
      <c r="E24" s="47">
        <f t="shared" si="1"/>
        <v>1.1509129111012217</v>
      </c>
      <c r="F24" s="46">
        <v>2.9303654146864835</v>
      </c>
      <c r="G24" s="47">
        <f t="shared" si="2"/>
        <v>0.82937281559013543</v>
      </c>
      <c r="H24" s="47">
        <f t="shared" si="3"/>
        <v>1.6825087376394583</v>
      </c>
    </row>
    <row r="25" spans="2:8" x14ac:dyDescent="0.2">
      <c r="B25" s="45">
        <f t="shared" si="4"/>
        <v>2045</v>
      </c>
      <c r="C25" s="46">
        <v>3.366247180630773</v>
      </c>
      <c r="D25" s="47">
        <f t="shared" si="0"/>
        <v>0.94058665651447393</v>
      </c>
      <c r="E25" s="47">
        <f t="shared" si="1"/>
        <v>1.1485333587138153</v>
      </c>
      <c r="F25" s="46">
        <v>2.9811150350818565</v>
      </c>
      <c r="G25" s="47">
        <f t="shared" si="2"/>
        <v>0.83227752229753493</v>
      </c>
      <c r="H25" s="47">
        <f t="shared" si="3"/>
        <v>1.6708899108098603</v>
      </c>
    </row>
    <row r="26" spans="2:8" x14ac:dyDescent="0.2">
      <c r="B26" s="45">
        <f t="shared" si="4"/>
        <v>2046</v>
      </c>
      <c r="C26" s="46">
        <v>3.4197978337050001</v>
      </c>
      <c r="D26" s="47">
        <f t="shared" si="0"/>
        <v>0.94151701073413441</v>
      </c>
      <c r="E26" s="47">
        <f t="shared" si="1"/>
        <v>1.1462074731646641</v>
      </c>
      <c r="F26" s="46">
        <v>3.0371061810892068</v>
      </c>
      <c r="G26" s="47">
        <f t="shared" si="2"/>
        <v>0.83536960178959452</v>
      </c>
      <c r="H26" s="47">
        <f t="shared" si="3"/>
        <v>1.6585215928416219</v>
      </c>
    </row>
    <row r="27" spans="2:8" x14ac:dyDescent="0.2">
      <c r="B27" s="45">
        <f t="shared" si="4"/>
        <v>2047</v>
      </c>
      <c r="C27" s="46">
        <v>3.4733484867792273</v>
      </c>
      <c r="D27" s="47">
        <f t="shared" si="0"/>
        <v>0.94241867731922968</v>
      </c>
      <c r="E27" s="47">
        <f t="shared" si="1"/>
        <v>1.1439533067019259</v>
      </c>
      <c r="F27" s="46">
        <v>3.0930973270965572</v>
      </c>
      <c r="G27" s="47">
        <f t="shared" si="2"/>
        <v>0.83834973583927208</v>
      </c>
      <c r="H27" s="47">
        <f t="shared" si="3"/>
        <v>1.6466010566429117</v>
      </c>
    </row>
    <row r="28" spans="2:8" x14ac:dyDescent="0.2">
      <c r="B28" s="45">
        <f t="shared" si="4"/>
        <v>2048</v>
      </c>
      <c r="C28" s="46">
        <v>3.5273558226576611</v>
      </c>
      <c r="D28" s="47">
        <f t="shared" si="0"/>
        <v>0.94330030480188087</v>
      </c>
      <c r="E28" s="47">
        <f t="shared" si="1"/>
        <v>1.1417492379952978</v>
      </c>
      <c r="F28" s="46">
        <v>3.1544691065430732</v>
      </c>
      <c r="G28" s="47">
        <f t="shared" si="2"/>
        <v>0.84149472284801008</v>
      </c>
      <c r="H28" s="47">
        <f t="shared" si="3"/>
        <v>1.6340211086079599</v>
      </c>
    </row>
    <row r="29" spans="2:8" x14ac:dyDescent="0.2">
      <c r="B29" s="45">
        <f t="shared" si="4"/>
        <v>2049</v>
      </c>
      <c r="C29" s="46">
        <v>3.580449792927682</v>
      </c>
      <c r="D29" s="47">
        <f t="shared" si="0"/>
        <v>0.94414109635190191</v>
      </c>
      <c r="E29" s="47">
        <f t="shared" si="1"/>
        <v>1.1396472591202451</v>
      </c>
      <c r="F29" s="46">
        <v>3.2050796191112574</v>
      </c>
      <c r="G29" s="47">
        <f t="shared" si="2"/>
        <v>0.84399763518553528</v>
      </c>
      <c r="H29" s="47">
        <f t="shared" si="3"/>
        <v>1.6240094592578589</v>
      </c>
    </row>
    <row r="30" spans="2:8" x14ac:dyDescent="0.2">
      <c r="B30" s="45">
        <f t="shared" si="4"/>
        <v>2050</v>
      </c>
      <c r="C30" s="46">
        <v>3.6340004460019091</v>
      </c>
      <c r="D30" s="47">
        <f t="shared" si="0"/>
        <v>0.94496423350194192</v>
      </c>
      <c r="E30" s="47">
        <f t="shared" si="1"/>
        <v>1.1375894162451452</v>
      </c>
      <c r="F30" s="46">
        <v>3.2610707651186077</v>
      </c>
      <c r="G30" s="47">
        <f t="shared" si="2"/>
        <v>0.84667612694942096</v>
      </c>
      <c r="H30" s="47">
        <f t="shared" si="3"/>
        <v>1.6132954922023162</v>
      </c>
    </row>
  </sheetData>
  <mergeCells count="5">
    <mergeCell ref="B3:B5"/>
    <mergeCell ref="C3:E3"/>
    <mergeCell ref="F3:H3"/>
    <mergeCell ref="D4:E4"/>
    <mergeCell ref="G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A774219748A49A995C2D88E75512E" ma:contentTypeVersion="11" ma:contentTypeDescription="Create a new document." ma:contentTypeScope="" ma:versionID="39ee2f2dedb992dd95df4d2a677f79e4">
  <xsd:schema xmlns:xsd="http://www.w3.org/2001/XMLSchema" xmlns:xs="http://www.w3.org/2001/XMLSchema" xmlns:p="http://schemas.microsoft.com/office/2006/metadata/properties" xmlns:ns2="b8020a46-ce88-475f-a5c4-b0db15bbb97b" xmlns:ns3="08a9a40e-5bea-4bc8-8c7d-c873deebf881" targetNamespace="http://schemas.microsoft.com/office/2006/metadata/properties" ma:root="true" ma:fieldsID="d4bc769510076e607bb86d61a72880b6" ns2:_="" ns3:_="">
    <xsd:import namespace="b8020a46-ce88-475f-a5c4-b0db15bbb97b"/>
    <xsd:import namespace="08a9a40e-5bea-4bc8-8c7d-c873deebf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0a46-ce88-475f-a5c4-b0db15bbb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764e6fd-8c14-4610-8a6b-f261638604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9a40e-5bea-4bc8-8c7d-c873deebf8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a3e151-f97c-4fc6-a9f4-b73ba5c32a1c}" ma:internalName="TaxCatchAll" ma:showField="CatchAllData" ma:web="08a9a40e-5bea-4bc8-8c7d-c873deebf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20a46-ce88-475f-a5c4-b0db15bbb97b">
      <Terms xmlns="http://schemas.microsoft.com/office/infopath/2007/PartnerControls"/>
    </lcf76f155ced4ddcb4097134ff3c332f>
    <TaxCatchAll xmlns="08a9a40e-5bea-4bc8-8c7d-c873deebf881" xsi:nil="true"/>
  </documentManagement>
</p:properties>
</file>

<file path=customXml/itemProps1.xml><?xml version="1.0" encoding="utf-8"?>
<ds:datastoreItem xmlns:ds="http://schemas.openxmlformats.org/officeDocument/2006/customXml" ds:itemID="{3117F9A7-22E5-42BD-967E-278A66DC5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5A082-00DA-4973-AA85-FDD50351B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20a46-ce88-475f-a5c4-b0db15bbb97b"/>
    <ds:schemaRef ds:uri="08a9a40e-5bea-4bc8-8c7d-c873deebf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BF859-012D-48AB-B2D5-9126350BE1A2}">
  <ds:schemaRefs>
    <ds:schemaRef ds:uri="http://schemas.microsoft.com/office/2006/metadata/properties"/>
    <ds:schemaRef ds:uri="http://schemas.microsoft.com/office/infopath/2007/PartnerControls"/>
    <ds:schemaRef ds:uri="b8020a46-ce88-475f-a5c4-b0db15bbb97b"/>
    <ds:schemaRef ds:uri="08a9a40e-5bea-4bc8-8c7d-c873deebf8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Attachment 4</vt:lpstr>
      <vt:lpstr>Attachment 5</vt:lpstr>
      <vt:lpstr>Attachment 6</vt:lpstr>
      <vt:lpstr>Attachment 7</vt:lpstr>
      <vt:lpstr>Attachment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Vala, Justin</dc:creator>
  <cp:keywords/>
  <dc:description/>
  <cp:lastModifiedBy>Rose Hull</cp:lastModifiedBy>
  <cp:revision/>
  <dcterms:created xsi:type="dcterms:W3CDTF">2025-02-19T15:27:52Z</dcterms:created>
  <dcterms:modified xsi:type="dcterms:W3CDTF">2025-02-24T23:23:45Z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{AF6B8CCE-9ABA-4835-B278-56EE4C21482A}</vt:lpwstr>
  </property>
  <property fmtid="{D5CDD505-2E9C-101B-9397-08002B2CF9AE}" pid="3" name="ContentTypeId">
    <vt:lpwstr>0x01010014BA774219748A49A995C2D88E75512E</vt:lpwstr>
  </property>
  <property fmtid="{D5CDD505-2E9C-101B-9397-08002B2CF9AE}" pid="4" name="MediaServiceImageTags">
    <vt:lpwstr/>
  </property>
</Properties>
</file>